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mpus.gsi.de\root\up06\weick\Documents\experiments\E143-2gamma\"/>
    </mc:Choice>
  </mc:AlternateContent>
  <bookViews>
    <workbookView xWindow="7545" yWindow="105" windowWidth="3225" windowHeight="7515"/>
  </bookViews>
  <sheets>
    <sheet name="70Se" sheetId="5" r:id="rId1"/>
    <sheet name="72Ge" sheetId="3" r:id="rId2"/>
    <sheet name="64Ge" sheetId="4" r:id="rId3"/>
  </sheets>
  <calcPr calcId="162913"/>
</workbook>
</file>

<file path=xl/calcChain.xml><?xml version="1.0" encoding="utf-8"?>
<calcChain xmlns="http://schemas.openxmlformats.org/spreadsheetml/2006/main">
  <c r="I58" i="5" l="1"/>
  <c r="T37" i="3"/>
  <c r="Q37" i="3"/>
  <c r="R37" i="3" s="1"/>
  <c r="P37" i="3"/>
  <c r="T36" i="3"/>
  <c r="P36" i="3"/>
  <c r="Q36" i="3" s="1"/>
  <c r="T35" i="3"/>
  <c r="Q35" i="3"/>
  <c r="R35" i="3" s="1"/>
  <c r="P35" i="3"/>
  <c r="T34" i="3"/>
  <c r="P34" i="3"/>
  <c r="Q34" i="3" s="1"/>
  <c r="T33" i="3"/>
  <c r="Q33" i="3"/>
  <c r="R33" i="3" s="1"/>
  <c r="P33" i="3"/>
  <c r="T32" i="3"/>
  <c r="P32" i="3"/>
  <c r="Q32" i="3" s="1"/>
  <c r="T31" i="3"/>
  <c r="Q31" i="3"/>
  <c r="R31" i="3" s="1"/>
  <c r="P31" i="3"/>
  <c r="T29" i="3"/>
  <c r="Q29" i="3"/>
  <c r="R29" i="3" s="1"/>
  <c r="P29" i="3"/>
  <c r="T28" i="3"/>
  <c r="P28" i="3"/>
  <c r="Q28" i="3" s="1"/>
  <c r="T27" i="3"/>
  <c r="Q27" i="3"/>
  <c r="R27" i="3" s="1"/>
  <c r="P27" i="3"/>
  <c r="T26" i="3"/>
  <c r="P26" i="3"/>
  <c r="Q26" i="3" s="1"/>
  <c r="T25" i="3"/>
  <c r="Q25" i="3"/>
  <c r="R25" i="3" s="1"/>
  <c r="P25" i="3"/>
  <c r="T24" i="3"/>
  <c r="P24" i="3"/>
  <c r="Q24" i="3" s="1"/>
  <c r="T23" i="3"/>
  <c r="Q23" i="3"/>
  <c r="R23" i="3" s="1"/>
  <c r="P23" i="3"/>
  <c r="T21" i="3"/>
  <c r="Q21" i="3"/>
  <c r="R21" i="3" s="1"/>
  <c r="P21" i="3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F57" i="5"/>
  <c r="F72" i="5"/>
  <c r="G57" i="5"/>
  <c r="R24" i="3" l="1"/>
  <c r="S24" i="3" s="1"/>
  <c r="U24" i="3" s="1"/>
  <c r="V24" i="3" s="1"/>
  <c r="R28" i="3"/>
  <c r="S28" i="3" s="1"/>
  <c r="U28" i="3" s="1"/>
  <c r="V28" i="3" s="1"/>
  <c r="R32" i="3"/>
  <c r="S32" i="3" s="1"/>
  <c r="U32" i="3" s="1"/>
  <c r="V32" i="3" s="1"/>
  <c r="R36" i="3"/>
  <c r="S36" i="3" s="1"/>
  <c r="U36" i="3" s="1"/>
  <c r="V36" i="3" s="1"/>
  <c r="R26" i="3"/>
  <c r="S26" i="3" s="1"/>
  <c r="U26" i="3" s="1"/>
  <c r="V26" i="3" s="1"/>
  <c r="R34" i="3"/>
  <c r="S34" i="3" s="1"/>
  <c r="U34" i="3" s="1"/>
  <c r="V34" i="3" s="1"/>
  <c r="S25" i="3"/>
  <c r="U25" i="3" s="1"/>
  <c r="V25" i="3" s="1"/>
  <c r="S27" i="3"/>
  <c r="U27" i="3" s="1"/>
  <c r="V27" i="3" s="1"/>
  <c r="S29" i="3"/>
  <c r="U29" i="3" s="1"/>
  <c r="V29" i="3" s="1"/>
  <c r="S31" i="3"/>
  <c r="U31" i="3" s="1"/>
  <c r="V31" i="3" s="1"/>
  <c r="S33" i="3"/>
  <c r="U33" i="3" s="1"/>
  <c r="V33" i="3" s="1"/>
  <c r="S35" i="3"/>
  <c r="U35" i="3" s="1"/>
  <c r="V35" i="3" s="1"/>
  <c r="S37" i="3"/>
  <c r="U37" i="3" s="1"/>
  <c r="V37" i="3" s="1"/>
  <c r="S23" i="3"/>
  <c r="U23" i="3" s="1"/>
  <c r="V23" i="3" s="1"/>
  <c r="S21" i="3"/>
  <c r="U21" i="3" s="1"/>
  <c r="V21" i="3" s="1"/>
  <c r="G72" i="5"/>
  <c r="I45" i="5"/>
  <c r="I83" i="5"/>
  <c r="I116" i="5"/>
  <c r="I31" i="5"/>
  <c r="I117" i="5"/>
  <c r="I118" i="5"/>
  <c r="I73" i="5"/>
  <c r="G95" i="5"/>
  <c r="G98" i="5"/>
  <c r="G96" i="5"/>
  <c r="G128" i="5"/>
  <c r="G100" i="5"/>
  <c r="G29" i="5"/>
  <c r="G127" i="5"/>
  <c r="G97" i="5"/>
  <c r="G35" i="5"/>
  <c r="G126" i="5"/>
  <c r="G101" i="5"/>
  <c r="G41" i="5"/>
  <c r="G125" i="5"/>
  <c r="G99" i="5"/>
  <c r="G47" i="5"/>
  <c r="G124" i="5"/>
  <c r="G103" i="5"/>
  <c r="G53" i="5"/>
  <c r="G123" i="5"/>
  <c r="G102" i="5"/>
  <c r="G59" i="5"/>
  <c r="G122" i="5"/>
  <c r="G22" i="5"/>
  <c r="G108" i="5"/>
  <c r="G62" i="5"/>
  <c r="G121" i="5"/>
  <c r="G24" i="5"/>
  <c r="G104" i="5"/>
  <c r="G65" i="5"/>
  <c r="G120" i="5"/>
  <c r="G27" i="5"/>
  <c r="G110" i="5"/>
  <c r="G68" i="5"/>
  <c r="G119" i="5"/>
  <c r="G30" i="5"/>
  <c r="G105" i="5"/>
  <c r="G71" i="5"/>
  <c r="G33" i="5"/>
  <c r="G111" i="5"/>
  <c r="G75" i="5"/>
  <c r="G36" i="5"/>
  <c r="G106" i="5"/>
  <c r="G20" i="5"/>
  <c r="G78" i="5"/>
  <c r="G39" i="5"/>
  <c r="G114" i="5"/>
  <c r="G21" i="5"/>
  <c r="G79" i="5"/>
  <c r="G42" i="5"/>
  <c r="G107" i="5"/>
  <c r="G23" i="5"/>
  <c r="G80" i="5"/>
  <c r="G45" i="5"/>
  <c r="G113" i="5"/>
  <c r="G25" i="5"/>
  <c r="G81" i="5"/>
  <c r="G49" i="5"/>
  <c r="G109" i="5"/>
  <c r="G26" i="5"/>
  <c r="G82" i="5"/>
  <c r="G51" i="5"/>
  <c r="G116" i="5"/>
  <c r="G28" i="5"/>
  <c r="G83" i="5"/>
  <c r="G55" i="5"/>
  <c r="G112" i="5"/>
  <c r="G31" i="5"/>
  <c r="G84" i="5"/>
  <c r="G58" i="5"/>
  <c r="G117" i="5"/>
  <c r="G32" i="5"/>
  <c r="G85" i="5"/>
  <c r="G60" i="5"/>
  <c r="G115" i="5"/>
  <c r="G34" i="5"/>
  <c r="G86" i="5"/>
  <c r="G61" i="5"/>
  <c r="G118" i="5"/>
  <c r="G37" i="5"/>
  <c r="G87" i="5"/>
  <c r="G63" i="5"/>
  <c r="G38" i="5"/>
  <c r="G88" i="5"/>
  <c r="G64" i="5"/>
  <c r="G40" i="5"/>
  <c r="G89" i="5"/>
  <c r="G66" i="5"/>
  <c r="G43" i="5"/>
  <c r="G90" i="5"/>
  <c r="G67" i="5"/>
  <c r="G44" i="5"/>
  <c r="G91" i="5"/>
  <c r="G69" i="5"/>
  <c r="G46" i="5"/>
  <c r="G92" i="5"/>
  <c r="G70" i="5"/>
  <c r="G48" i="5"/>
  <c r="G93" i="5"/>
  <c r="G73" i="5"/>
  <c r="G50" i="5"/>
  <c r="G94" i="5"/>
  <c r="G74" i="5"/>
  <c r="G52" i="5"/>
  <c r="G76" i="5"/>
  <c r="G54" i="5"/>
  <c r="G77" i="5"/>
  <c r="G56" i="5"/>
  <c r="J9" i="5" l="1"/>
  <c r="J10" i="5" s="1"/>
  <c r="J6" i="5"/>
  <c r="J13" i="5" l="1"/>
  <c r="J11" i="5"/>
  <c r="J95" i="5" s="1"/>
  <c r="O27" i="4"/>
  <c r="K27" i="4"/>
  <c r="L27" i="4" s="1"/>
  <c r="M27" i="4" s="1"/>
  <c r="N27" i="4" s="1"/>
  <c r="J27" i="4"/>
  <c r="G27" i="4"/>
  <c r="E30" i="4"/>
  <c r="E31" i="4" s="1"/>
  <c r="G31" i="4" s="1"/>
  <c r="E29" i="4"/>
  <c r="B24" i="4"/>
  <c r="B23" i="4"/>
  <c r="B22" i="4"/>
  <c r="B21" i="4"/>
  <c r="D26" i="4"/>
  <c r="D27" i="4" s="1"/>
  <c r="D28" i="4" s="1"/>
  <c r="D29" i="4" s="1"/>
  <c r="B29" i="4" s="1"/>
  <c r="D25" i="4"/>
  <c r="B25" i="4" s="1"/>
  <c r="E76" i="4"/>
  <c r="D77" i="4" s="1"/>
  <c r="G32" i="4"/>
  <c r="G29" i="4"/>
  <c r="G28" i="4"/>
  <c r="E25" i="4"/>
  <c r="G25" i="4" s="1"/>
  <c r="G24" i="4"/>
  <c r="G23" i="4"/>
  <c r="G22" i="4"/>
  <c r="G21" i="4"/>
  <c r="E21" i="4"/>
  <c r="J9" i="4"/>
  <c r="J10" i="4" s="1"/>
  <c r="J6" i="4"/>
  <c r="G36" i="3"/>
  <c r="G37" i="3"/>
  <c r="G32" i="3"/>
  <c r="G34" i="3"/>
  <c r="G35" i="3"/>
  <c r="H26" i="3"/>
  <c r="I25" i="3"/>
  <c r="G25" i="3"/>
  <c r="E76" i="3"/>
  <c r="D77" i="3" s="1"/>
  <c r="G33" i="3"/>
  <c r="G31" i="3"/>
  <c r="G29" i="3"/>
  <c r="E29" i="3"/>
  <c r="B29" i="3"/>
  <c r="E28" i="3"/>
  <c r="G28" i="3" s="1"/>
  <c r="B28" i="3"/>
  <c r="G27" i="3"/>
  <c r="G26" i="3"/>
  <c r="F26" i="3"/>
  <c r="E24" i="3"/>
  <c r="G24" i="3" s="1"/>
  <c r="B24" i="3"/>
  <c r="E23" i="3"/>
  <c r="G23" i="3" s="1"/>
  <c r="B23" i="3"/>
  <c r="G21" i="3"/>
  <c r="J9" i="3"/>
  <c r="J10" i="3" s="1"/>
  <c r="J6" i="3"/>
  <c r="J72" i="5" l="1"/>
  <c r="J36" i="5"/>
  <c r="J49" i="5"/>
  <c r="J60" i="5"/>
  <c r="J66" i="5"/>
  <c r="J73" i="5"/>
  <c r="J120" i="5"/>
  <c r="J33" i="5"/>
  <c r="J114" i="5"/>
  <c r="J113" i="5"/>
  <c r="J116" i="5"/>
  <c r="J117" i="5"/>
  <c r="J118" i="5"/>
  <c r="J68" i="5"/>
  <c r="J20" i="5"/>
  <c r="J26" i="5"/>
  <c r="J34" i="5"/>
  <c r="J90" i="5"/>
  <c r="J52" i="5"/>
  <c r="J110" i="5"/>
  <c r="J75" i="5"/>
  <c r="J79" i="5"/>
  <c r="J81" i="5"/>
  <c r="J83" i="5"/>
  <c r="J85" i="5"/>
  <c r="J87" i="5"/>
  <c r="J74" i="5"/>
  <c r="J91" i="5"/>
  <c r="J58" i="5"/>
  <c r="J27" i="5"/>
  <c r="J122" i="5"/>
  <c r="J99" i="5"/>
  <c r="J77" i="5"/>
  <c r="J46" i="5"/>
  <c r="J61" i="5"/>
  <c r="J39" i="5"/>
  <c r="J108" i="5"/>
  <c r="J124" i="5"/>
  <c r="J97" i="5"/>
  <c r="J128" i="5"/>
  <c r="J76" i="5"/>
  <c r="J93" i="5"/>
  <c r="J69" i="5"/>
  <c r="J89" i="5"/>
  <c r="J32" i="5"/>
  <c r="J25" i="5"/>
  <c r="J71" i="5"/>
  <c r="J24" i="5"/>
  <c r="J22" i="5"/>
  <c r="J123" i="5"/>
  <c r="J47" i="5"/>
  <c r="J101" i="5"/>
  <c r="J127" i="5"/>
  <c r="J96" i="5"/>
  <c r="J57" i="5"/>
  <c r="J30" i="5"/>
  <c r="J42" i="5"/>
  <c r="J55" i="5"/>
  <c r="J63" i="5"/>
  <c r="J44" i="5"/>
  <c r="J54" i="5"/>
  <c r="J119" i="5"/>
  <c r="J106" i="5"/>
  <c r="J107" i="5"/>
  <c r="J109" i="5"/>
  <c r="J112" i="5"/>
  <c r="J115" i="5"/>
  <c r="J38" i="5"/>
  <c r="J111" i="5"/>
  <c r="J23" i="5"/>
  <c r="J31" i="5"/>
  <c r="J88" i="5"/>
  <c r="J92" i="5"/>
  <c r="J56" i="5"/>
  <c r="J105" i="5"/>
  <c r="J78" i="5"/>
  <c r="J80" i="5"/>
  <c r="J82" i="5"/>
  <c r="J84" i="5"/>
  <c r="J86" i="5"/>
  <c r="J64" i="5"/>
  <c r="J48" i="5"/>
  <c r="J40" i="5"/>
  <c r="J45" i="5"/>
  <c r="J121" i="5"/>
  <c r="J53" i="5"/>
  <c r="J126" i="5"/>
  <c r="J50" i="5"/>
  <c r="J43" i="5"/>
  <c r="J51" i="5"/>
  <c r="J104" i="5"/>
  <c r="J102" i="5"/>
  <c r="J41" i="5"/>
  <c r="J29" i="5"/>
  <c r="J98" i="5"/>
  <c r="J94" i="5"/>
  <c r="J70" i="5"/>
  <c r="J67" i="5"/>
  <c r="J37" i="5"/>
  <c r="J28" i="5"/>
  <c r="J21" i="5"/>
  <c r="J65" i="5"/>
  <c r="J62" i="5"/>
  <c r="J59" i="5"/>
  <c r="J103" i="5"/>
  <c r="J125" i="5"/>
  <c r="J35" i="5"/>
  <c r="J100" i="5"/>
  <c r="J16" i="5"/>
  <c r="J13" i="4"/>
  <c r="B26" i="4"/>
  <c r="B28" i="4"/>
  <c r="D30" i="4"/>
  <c r="B27" i="4"/>
  <c r="G30" i="4"/>
  <c r="E26" i="4"/>
  <c r="G26" i="4" s="1"/>
  <c r="J11" i="4"/>
  <c r="J16" i="4" s="1"/>
  <c r="J30" i="4"/>
  <c r="J23" i="4"/>
  <c r="D78" i="4"/>
  <c r="G78" i="4" s="1"/>
  <c r="H78" i="4" s="1"/>
  <c r="I78" i="4" s="1"/>
  <c r="D79" i="4"/>
  <c r="G79" i="4" s="1"/>
  <c r="H79" i="4" s="1"/>
  <c r="I79" i="4" s="1"/>
  <c r="J13" i="3"/>
  <c r="J11" i="3"/>
  <c r="J31" i="3" s="1"/>
  <c r="D78" i="3"/>
  <c r="G78" i="3" s="1"/>
  <c r="H78" i="3" s="1"/>
  <c r="I78" i="3" s="1"/>
  <c r="D79" i="3"/>
  <c r="G79" i="3" s="1"/>
  <c r="P126" i="5" l="1"/>
  <c r="Q126" i="5" s="1"/>
  <c r="P125" i="5"/>
  <c r="Q125" i="5" s="1"/>
  <c r="R125" i="5" s="1"/>
  <c r="S125" i="5" s="1"/>
  <c r="P122" i="5"/>
  <c r="Q122" i="5" s="1"/>
  <c r="P121" i="5"/>
  <c r="Q121" i="5" s="1"/>
  <c r="R121" i="5" s="1"/>
  <c r="S121" i="5" s="1"/>
  <c r="P118" i="5"/>
  <c r="Q118" i="5" s="1"/>
  <c r="P117" i="5"/>
  <c r="Q117" i="5" s="1"/>
  <c r="R117" i="5" s="1"/>
  <c r="S117" i="5" s="1"/>
  <c r="P114" i="5"/>
  <c r="Q114" i="5" s="1"/>
  <c r="P113" i="5"/>
  <c r="Q113" i="5" s="1"/>
  <c r="R113" i="5" s="1"/>
  <c r="S113" i="5" s="1"/>
  <c r="P110" i="5"/>
  <c r="Q110" i="5" s="1"/>
  <c r="P109" i="5"/>
  <c r="Q109" i="5" s="1"/>
  <c r="R109" i="5" s="1"/>
  <c r="S109" i="5" s="1"/>
  <c r="P106" i="5"/>
  <c r="Q106" i="5" s="1"/>
  <c r="P105" i="5"/>
  <c r="Q105" i="5" s="1"/>
  <c r="R105" i="5" s="1"/>
  <c r="S105" i="5" s="1"/>
  <c r="P102" i="5"/>
  <c r="Q102" i="5" s="1"/>
  <c r="P101" i="5"/>
  <c r="Q101" i="5" s="1"/>
  <c r="R101" i="5" s="1"/>
  <c r="S101" i="5" s="1"/>
  <c r="P99" i="5"/>
  <c r="Q99" i="5" s="1"/>
  <c r="P97" i="5"/>
  <c r="Q97" i="5" s="1"/>
  <c r="P95" i="5"/>
  <c r="Q95" i="5" s="1"/>
  <c r="P93" i="5"/>
  <c r="Q93" i="5" s="1"/>
  <c r="P128" i="5"/>
  <c r="Q128" i="5" s="1"/>
  <c r="P127" i="5"/>
  <c r="Q127" i="5" s="1"/>
  <c r="R127" i="5" s="1"/>
  <c r="S127" i="5" s="1"/>
  <c r="P120" i="5"/>
  <c r="Q120" i="5" s="1"/>
  <c r="P119" i="5"/>
  <c r="Q119" i="5" s="1"/>
  <c r="R119" i="5" s="1"/>
  <c r="S119" i="5" s="1"/>
  <c r="P112" i="5"/>
  <c r="Q112" i="5" s="1"/>
  <c r="P111" i="5"/>
  <c r="Q111" i="5" s="1"/>
  <c r="R111" i="5" s="1"/>
  <c r="S111" i="5" s="1"/>
  <c r="P104" i="5"/>
  <c r="Q104" i="5" s="1"/>
  <c r="P103" i="5"/>
  <c r="Q103" i="5" s="1"/>
  <c r="R103" i="5" s="1"/>
  <c r="S103" i="5" s="1"/>
  <c r="P91" i="5"/>
  <c r="Q91" i="5" s="1"/>
  <c r="P89" i="5"/>
  <c r="Q89" i="5" s="1"/>
  <c r="P87" i="5"/>
  <c r="Q87" i="5" s="1"/>
  <c r="P85" i="5"/>
  <c r="Q85" i="5" s="1"/>
  <c r="P83" i="5"/>
  <c r="Q83" i="5" s="1"/>
  <c r="P81" i="5"/>
  <c r="Q81" i="5" s="1"/>
  <c r="P79" i="5"/>
  <c r="Q79" i="5" s="1"/>
  <c r="P77" i="5"/>
  <c r="Q77" i="5" s="1"/>
  <c r="P75" i="5"/>
  <c r="Q75" i="5" s="1"/>
  <c r="P73" i="5"/>
  <c r="Q73" i="5" s="1"/>
  <c r="P71" i="5"/>
  <c r="Q71" i="5" s="1"/>
  <c r="P68" i="5"/>
  <c r="Q68" i="5" s="1"/>
  <c r="P67" i="5"/>
  <c r="Q67" i="5" s="1"/>
  <c r="P64" i="5"/>
  <c r="Q64" i="5" s="1"/>
  <c r="P63" i="5"/>
  <c r="Q63" i="5" s="1"/>
  <c r="P60" i="5"/>
  <c r="Q60" i="5" s="1"/>
  <c r="P59" i="5"/>
  <c r="Q59" i="5" s="1"/>
  <c r="P56" i="5"/>
  <c r="Q56" i="5" s="1"/>
  <c r="P55" i="5"/>
  <c r="Q55" i="5" s="1"/>
  <c r="P52" i="5"/>
  <c r="Q52" i="5" s="1"/>
  <c r="P51" i="5"/>
  <c r="Q51" i="5" s="1"/>
  <c r="P124" i="5"/>
  <c r="Q124" i="5" s="1"/>
  <c r="P123" i="5"/>
  <c r="Q123" i="5" s="1"/>
  <c r="R123" i="5" s="1"/>
  <c r="S123" i="5" s="1"/>
  <c r="P108" i="5"/>
  <c r="Q108" i="5" s="1"/>
  <c r="P107" i="5"/>
  <c r="Q107" i="5" s="1"/>
  <c r="R107" i="5" s="1"/>
  <c r="S107" i="5" s="1"/>
  <c r="P69" i="5"/>
  <c r="Q69" i="5" s="1"/>
  <c r="P66" i="5"/>
  <c r="Q66" i="5" s="1"/>
  <c r="P61" i="5"/>
  <c r="Q61" i="5" s="1"/>
  <c r="P58" i="5"/>
  <c r="Q58" i="5" s="1"/>
  <c r="P53" i="5"/>
  <c r="Q53" i="5" s="1"/>
  <c r="P48" i="5"/>
  <c r="Q48" i="5" s="1"/>
  <c r="P47" i="5"/>
  <c r="Q47" i="5" s="1"/>
  <c r="P44" i="5"/>
  <c r="Q44" i="5" s="1"/>
  <c r="P43" i="5"/>
  <c r="Q43" i="5" s="1"/>
  <c r="P40" i="5"/>
  <c r="Q40" i="5" s="1"/>
  <c r="P39" i="5"/>
  <c r="Q39" i="5" s="1"/>
  <c r="P36" i="5"/>
  <c r="Q36" i="5" s="1"/>
  <c r="P35" i="5"/>
  <c r="Q35" i="5" s="1"/>
  <c r="P32" i="5"/>
  <c r="Q32" i="5" s="1"/>
  <c r="P30" i="5"/>
  <c r="Q30" i="5" s="1"/>
  <c r="P28" i="5"/>
  <c r="Q28" i="5" s="1"/>
  <c r="P26" i="5"/>
  <c r="Q26" i="5" s="1"/>
  <c r="P24" i="5"/>
  <c r="Q24" i="5" s="1"/>
  <c r="P22" i="5"/>
  <c r="Q22" i="5" s="1"/>
  <c r="P20" i="5"/>
  <c r="Q20" i="5" s="1"/>
  <c r="P116" i="5"/>
  <c r="Q116" i="5" s="1"/>
  <c r="P115" i="5"/>
  <c r="Q115" i="5" s="1"/>
  <c r="R115" i="5" s="1"/>
  <c r="S115" i="5" s="1"/>
  <c r="P100" i="5"/>
  <c r="Q100" i="5" s="1"/>
  <c r="P98" i="5"/>
  <c r="Q98" i="5" s="1"/>
  <c r="P96" i="5"/>
  <c r="Q96" i="5" s="1"/>
  <c r="P94" i="5"/>
  <c r="Q94" i="5" s="1"/>
  <c r="P92" i="5"/>
  <c r="Q92" i="5" s="1"/>
  <c r="P90" i="5"/>
  <c r="Q90" i="5" s="1"/>
  <c r="P88" i="5"/>
  <c r="Q88" i="5" s="1"/>
  <c r="P86" i="5"/>
  <c r="Q86" i="5" s="1"/>
  <c r="P84" i="5"/>
  <c r="Q84" i="5" s="1"/>
  <c r="P82" i="5"/>
  <c r="Q82" i="5" s="1"/>
  <c r="P80" i="5"/>
  <c r="Q80" i="5" s="1"/>
  <c r="P78" i="5"/>
  <c r="Q78" i="5" s="1"/>
  <c r="P76" i="5"/>
  <c r="Q76" i="5" s="1"/>
  <c r="P74" i="5"/>
  <c r="Q74" i="5" s="1"/>
  <c r="P72" i="5"/>
  <c r="Q72" i="5" s="1"/>
  <c r="P70" i="5"/>
  <c r="Q70" i="5" s="1"/>
  <c r="P65" i="5"/>
  <c r="Q65" i="5" s="1"/>
  <c r="P62" i="5"/>
  <c r="Q62" i="5" s="1"/>
  <c r="P57" i="5"/>
  <c r="Q57" i="5" s="1"/>
  <c r="P54" i="5"/>
  <c r="Q54" i="5" s="1"/>
  <c r="P50" i="5"/>
  <c r="Q50" i="5" s="1"/>
  <c r="P49" i="5"/>
  <c r="Q49" i="5" s="1"/>
  <c r="P46" i="5"/>
  <c r="Q46" i="5" s="1"/>
  <c r="P45" i="5"/>
  <c r="Q45" i="5" s="1"/>
  <c r="P42" i="5"/>
  <c r="Q42" i="5" s="1"/>
  <c r="P41" i="5"/>
  <c r="Q41" i="5" s="1"/>
  <c r="P38" i="5"/>
  <c r="Q38" i="5" s="1"/>
  <c r="P37" i="5"/>
  <c r="Q37" i="5" s="1"/>
  <c r="P34" i="5"/>
  <c r="Q34" i="5" s="1"/>
  <c r="P33" i="5"/>
  <c r="Q33" i="5" s="1"/>
  <c r="P31" i="5"/>
  <c r="Q31" i="5" s="1"/>
  <c r="P27" i="5"/>
  <c r="Q27" i="5" s="1"/>
  <c r="P23" i="5"/>
  <c r="Q23" i="5" s="1"/>
  <c r="P29" i="5"/>
  <c r="Q29" i="5" s="1"/>
  <c r="P25" i="5"/>
  <c r="Q25" i="5" s="1"/>
  <c r="P21" i="5"/>
  <c r="Q21" i="5" s="1"/>
  <c r="K57" i="5"/>
  <c r="L57" i="5" s="1"/>
  <c r="K66" i="5"/>
  <c r="L66" i="5" s="1"/>
  <c r="K44" i="5"/>
  <c r="L44" i="5" s="1"/>
  <c r="K92" i="5"/>
  <c r="L92" i="5" s="1"/>
  <c r="K73" i="5"/>
  <c r="L73" i="5" s="1"/>
  <c r="M17" i="5" s="1"/>
  <c r="K52" i="5"/>
  <c r="L52" i="5" s="1"/>
  <c r="K120" i="5"/>
  <c r="L120" i="5" s="1"/>
  <c r="K119" i="5"/>
  <c r="L119" i="5" s="1"/>
  <c r="K33" i="5"/>
  <c r="L33" i="5" s="1"/>
  <c r="K106" i="5"/>
  <c r="L106" i="5" s="1"/>
  <c r="K114" i="5"/>
  <c r="L114" i="5" s="1"/>
  <c r="K107" i="5"/>
  <c r="L107" i="5" s="1"/>
  <c r="K113" i="5"/>
  <c r="L113" i="5" s="1"/>
  <c r="K109" i="5"/>
  <c r="L109" i="5" s="1"/>
  <c r="K116" i="5"/>
  <c r="L116" i="5" s="1"/>
  <c r="K112" i="5"/>
  <c r="L112" i="5" s="1"/>
  <c r="K117" i="5"/>
  <c r="L117" i="5" s="1"/>
  <c r="K115" i="5"/>
  <c r="L115" i="5" s="1"/>
  <c r="K118" i="5"/>
  <c r="L118" i="5" s="1"/>
  <c r="K38" i="5"/>
  <c r="L38" i="5" s="1"/>
  <c r="K74" i="5"/>
  <c r="L74" i="5" s="1"/>
  <c r="K70" i="5"/>
  <c r="L70" i="5" s="1"/>
  <c r="K91" i="5"/>
  <c r="L91" i="5" s="1"/>
  <c r="K43" i="5"/>
  <c r="L43" i="5" s="1"/>
  <c r="K54" i="5"/>
  <c r="L54" i="5" s="1"/>
  <c r="K40" i="5"/>
  <c r="L40" i="5" s="1"/>
  <c r="K37" i="5"/>
  <c r="L37" i="5" s="1"/>
  <c r="K61" i="5"/>
  <c r="L61" i="5" s="1"/>
  <c r="K32" i="5"/>
  <c r="L32" i="5" s="1"/>
  <c r="K58" i="5"/>
  <c r="L58" i="5" s="1"/>
  <c r="K28" i="5"/>
  <c r="L28" i="5" s="1"/>
  <c r="K51" i="5"/>
  <c r="L51" i="5" s="1"/>
  <c r="K25" i="5"/>
  <c r="L25" i="5" s="1"/>
  <c r="K45" i="5"/>
  <c r="L45" i="5" s="1"/>
  <c r="K21" i="5"/>
  <c r="L21" i="5" s="1"/>
  <c r="K39" i="5"/>
  <c r="L39" i="5" s="1"/>
  <c r="K111" i="5"/>
  <c r="L111" i="5" s="1"/>
  <c r="K71" i="5"/>
  <c r="L71" i="5" s="1"/>
  <c r="K27" i="5"/>
  <c r="L27" i="5" s="1"/>
  <c r="K76" i="5"/>
  <c r="L76" i="5" s="1"/>
  <c r="K50" i="5"/>
  <c r="L50" i="5" s="1"/>
  <c r="K64" i="5"/>
  <c r="L64" i="5" s="1"/>
  <c r="K86" i="5"/>
  <c r="L86" i="5" s="1"/>
  <c r="K84" i="5"/>
  <c r="L84" i="5" s="1"/>
  <c r="K82" i="5"/>
  <c r="L82" i="5" s="1"/>
  <c r="K80" i="5"/>
  <c r="L80" i="5" s="1"/>
  <c r="K78" i="5"/>
  <c r="L78" i="5" s="1"/>
  <c r="K105" i="5"/>
  <c r="L105" i="5" s="1"/>
  <c r="K65" i="5"/>
  <c r="L65" i="5" s="1"/>
  <c r="K121" i="5"/>
  <c r="L121" i="5" s="1"/>
  <c r="K122" i="5"/>
  <c r="L122" i="5" s="1"/>
  <c r="K53" i="5"/>
  <c r="L53" i="5" s="1"/>
  <c r="K99" i="5"/>
  <c r="L99" i="5" s="1"/>
  <c r="K126" i="5"/>
  <c r="L126" i="5" s="1"/>
  <c r="K29" i="5"/>
  <c r="L29" i="5" s="1"/>
  <c r="K98" i="5"/>
  <c r="L98" i="5" s="1"/>
  <c r="K62" i="5"/>
  <c r="L62" i="5" s="1"/>
  <c r="K59" i="5"/>
  <c r="L59" i="5" s="1"/>
  <c r="K103" i="5"/>
  <c r="L103" i="5" s="1"/>
  <c r="K125" i="5"/>
  <c r="L125" i="5" s="1"/>
  <c r="K35" i="5"/>
  <c r="L35" i="5" s="1"/>
  <c r="K100" i="5"/>
  <c r="L100" i="5" s="1"/>
  <c r="K95" i="5"/>
  <c r="L95" i="5" s="1"/>
  <c r="K77" i="5"/>
  <c r="L77" i="5" s="1"/>
  <c r="K93" i="5"/>
  <c r="L93" i="5" s="1"/>
  <c r="K46" i="5"/>
  <c r="L46" i="5" s="1"/>
  <c r="K67" i="5"/>
  <c r="L67" i="5" s="1"/>
  <c r="K89" i="5"/>
  <c r="L89" i="5" s="1"/>
  <c r="K94" i="5"/>
  <c r="L94" i="5" s="1"/>
  <c r="K72" i="5"/>
  <c r="L72" i="5" s="1"/>
  <c r="K48" i="5"/>
  <c r="L48" i="5" s="1"/>
  <c r="K69" i="5"/>
  <c r="L69" i="5" s="1"/>
  <c r="K90" i="5"/>
  <c r="L90" i="5" s="1"/>
  <c r="K88" i="5"/>
  <c r="L88" i="5" s="1"/>
  <c r="K63" i="5"/>
  <c r="L63" i="5" s="1"/>
  <c r="K34" i="5"/>
  <c r="L34" i="5" s="1"/>
  <c r="K60" i="5"/>
  <c r="L60" i="5" s="1"/>
  <c r="K31" i="5"/>
  <c r="L31" i="5" s="1"/>
  <c r="K55" i="5"/>
  <c r="L55" i="5" s="1"/>
  <c r="K26" i="5"/>
  <c r="L26" i="5" s="1"/>
  <c r="K49" i="5"/>
  <c r="L49" i="5" s="1"/>
  <c r="K23" i="5"/>
  <c r="L23" i="5" s="1"/>
  <c r="K42" i="5"/>
  <c r="L42" i="5" s="1"/>
  <c r="K20" i="5"/>
  <c r="L20" i="5" s="1"/>
  <c r="K36" i="5"/>
  <c r="L36" i="5" s="1"/>
  <c r="K30" i="5"/>
  <c r="L30" i="5" s="1"/>
  <c r="K68" i="5"/>
  <c r="L68" i="5" s="1"/>
  <c r="K87" i="5"/>
  <c r="L87" i="5" s="1"/>
  <c r="K85" i="5"/>
  <c r="L85" i="5" s="1"/>
  <c r="K83" i="5"/>
  <c r="L83" i="5" s="1"/>
  <c r="K81" i="5"/>
  <c r="L81" i="5" s="1"/>
  <c r="K79" i="5"/>
  <c r="L79" i="5" s="1"/>
  <c r="K75" i="5"/>
  <c r="L75" i="5" s="1"/>
  <c r="K110" i="5"/>
  <c r="L110" i="5" s="1"/>
  <c r="K104" i="5"/>
  <c r="L104" i="5" s="1"/>
  <c r="K108" i="5"/>
  <c r="L108" i="5" s="1"/>
  <c r="K102" i="5"/>
  <c r="L102" i="5" s="1"/>
  <c r="K124" i="5"/>
  <c r="L124" i="5" s="1"/>
  <c r="K41" i="5"/>
  <c r="L41" i="5" s="1"/>
  <c r="K97" i="5"/>
  <c r="L97" i="5" s="1"/>
  <c r="K128" i="5"/>
  <c r="L128" i="5" s="1"/>
  <c r="K24" i="5"/>
  <c r="L24" i="5" s="1"/>
  <c r="K22" i="5"/>
  <c r="L22" i="5" s="1"/>
  <c r="K123" i="5"/>
  <c r="L123" i="5" s="1"/>
  <c r="K47" i="5"/>
  <c r="L47" i="5" s="1"/>
  <c r="K101" i="5"/>
  <c r="L101" i="5" s="1"/>
  <c r="K96" i="5"/>
  <c r="L96" i="5" s="1"/>
  <c r="K127" i="5"/>
  <c r="L127" i="5" s="1"/>
  <c r="K56" i="5"/>
  <c r="L56" i="5" s="1"/>
  <c r="J23" i="3"/>
  <c r="J27" i="3"/>
  <c r="J33" i="3"/>
  <c r="J37" i="3"/>
  <c r="J25" i="3"/>
  <c r="J35" i="3"/>
  <c r="K35" i="3" s="1"/>
  <c r="L35" i="3" s="1"/>
  <c r="J29" i="3"/>
  <c r="J36" i="3"/>
  <c r="K36" i="3" s="1"/>
  <c r="L36" i="3" s="1"/>
  <c r="J34" i="3"/>
  <c r="J32" i="3"/>
  <c r="J16" i="3"/>
  <c r="K32" i="3"/>
  <c r="L32" i="3" s="1"/>
  <c r="K25" i="3"/>
  <c r="L25" i="3" s="1"/>
  <c r="K34" i="3"/>
  <c r="L34" i="3" s="1"/>
  <c r="J24" i="4"/>
  <c r="O21" i="4" s="1"/>
  <c r="J28" i="4"/>
  <c r="K28" i="4" s="1"/>
  <c r="L28" i="4" s="1"/>
  <c r="J32" i="4"/>
  <c r="K32" i="4" s="1"/>
  <c r="L32" i="4" s="1"/>
  <c r="J21" i="4"/>
  <c r="K21" i="4" s="1"/>
  <c r="L21" i="4" s="1"/>
  <c r="J29" i="4"/>
  <c r="K29" i="4" s="1"/>
  <c r="L29" i="4" s="1"/>
  <c r="B30" i="4"/>
  <c r="D31" i="4"/>
  <c r="O30" i="4"/>
  <c r="O29" i="4"/>
  <c r="K23" i="4"/>
  <c r="L23" i="4" s="1"/>
  <c r="O32" i="4"/>
  <c r="J25" i="4"/>
  <c r="J22" i="4"/>
  <c r="J26" i="4"/>
  <c r="J31" i="4"/>
  <c r="K30" i="4"/>
  <c r="L30" i="4" s="1"/>
  <c r="K31" i="3"/>
  <c r="L31" i="3" s="1"/>
  <c r="K23" i="3"/>
  <c r="L23" i="3" s="1"/>
  <c r="H79" i="3"/>
  <c r="I79" i="3" s="1"/>
  <c r="K33" i="3"/>
  <c r="L33" i="3" s="1"/>
  <c r="K29" i="3"/>
  <c r="L29" i="3" s="1"/>
  <c r="J21" i="3"/>
  <c r="J24" i="3"/>
  <c r="J26" i="3"/>
  <c r="J28" i="3"/>
  <c r="S25" i="5" l="1"/>
  <c r="U25" i="5" s="1"/>
  <c r="R25" i="5"/>
  <c r="S23" i="5"/>
  <c r="U23" i="5" s="1"/>
  <c r="R23" i="5"/>
  <c r="S31" i="5"/>
  <c r="U31" i="5" s="1"/>
  <c r="R31" i="5"/>
  <c r="R34" i="5"/>
  <c r="S34" i="5" s="1"/>
  <c r="U34" i="5" s="1"/>
  <c r="R38" i="5"/>
  <c r="S38" i="5" s="1"/>
  <c r="U38" i="5" s="1"/>
  <c r="R42" i="5"/>
  <c r="S42" i="5" s="1"/>
  <c r="U42" i="5" s="1"/>
  <c r="R46" i="5"/>
  <c r="S46" i="5" s="1"/>
  <c r="U46" i="5" s="1"/>
  <c r="R50" i="5"/>
  <c r="S50" i="5" s="1"/>
  <c r="U50" i="5" s="1"/>
  <c r="R57" i="5"/>
  <c r="S57" i="5" s="1"/>
  <c r="U57" i="5" s="1"/>
  <c r="R65" i="5"/>
  <c r="S65" i="5" s="1"/>
  <c r="U65" i="5" s="1"/>
  <c r="R72" i="5"/>
  <c r="S72" i="5" s="1"/>
  <c r="U72" i="5" s="1"/>
  <c r="R76" i="5"/>
  <c r="S76" i="5" s="1"/>
  <c r="U76" i="5" s="1"/>
  <c r="R80" i="5"/>
  <c r="S80" i="5" s="1"/>
  <c r="U80" i="5" s="1"/>
  <c r="R84" i="5"/>
  <c r="S84" i="5" s="1"/>
  <c r="U84" i="5" s="1"/>
  <c r="R88" i="5"/>
  <c r="S88" i="5" s="1"/>
  <c r="U88" i="5" s="1"/>
  <c r="R92" i="5"/>
  <c r="S92" i="5" s="1"/>
  <c r="U92" i="5" s="1"/>
  <c r="R96" i="5"/>
  <c r="S96" i="5" s="1"/>
  <c r="U96" i="5" s="1"/>
  <c r="R100" i="5"/>
  <c r="S100" i="5" s="1"/>
  <c r="U100" i="5" s="1"/>
  <c r="R116" i="5"/>
  <c r="S116" i="5" s="1"/>
  <c r="U116" i="5" s="1"/>
  <c r="R22" i="5"/>
  <c r="S22" i="5" s="1"/>
  <c r="U22" i="5" s="1"/>
  <c r="R26" i="5"/>
  <c r="S26" i="5" s="1"/>
  <c r="U26" i="5" s="1"/>
  <c r="R30" i="5"/>
  <c r="S30" i="5" s="1"/>
  <c r="U30" i="5" s="1"/>
  <c r="R35" i="5"/>
  <c r="S35" i="5" s="1"/>
  <c r="U35" i="5" s="1"/>
  <c r="R39" i="5"/>
  <c r="S39" i="5" s="1"/>
  <c r="U39" i="5" s="1"/>
  <c r="R43" i="5"/>
  <c r="S43" i="5" s="1"/>
  <c r="U43" i="5" s="1"/>
  <c r="R47" i="5"/>
  <c r="S47" i="5" s="1"/>
  <c r="U47" i="5" s="1"/>
  <c r="R53" i="5"/>
  <c r="S53" i="5" s="1"/>
  <c r="U53" i="5" s="1"/>
  <c r="R61" i="5"/>
  <c r="S61" i="5" s="1"/>
  <c r="U61" i="5" s="1"/>
  <c r="R69" i="5"/>
  <c r="S69" i="5" s="1"/>
  <c r="U69" i="5" s="1"/>
  <c r="R108" i="5"/>
  <c r="S108" i="5" s="1"/>
  <c r="U108" i="5" s="1"/>
  <c r="R124" i="5"/>
  <c r="S124" i="5" s="1"/>
  <c r="U124" i="5" s="1"/>
  <c r="R52" i="5"/>
  <c r="S52" i="5" s="1"/>
  <c r="U52" i="5" s="1"/>
  <c r="R56" i="5"/>
  <c r="S56" i="5" s="1"/>
  <c r="U56" i="5" s="1"/>
  <c r="R60" i="5"/>
  <c r="S60" i="5" s="1"/>
  <c r="U60" i="5" s="1"/>
  <c r="R64" i="5"/>
  <c r="S64" i="5" s="1"/>
  <c r="U64" i="5" s="1"/>
  <c r="R68" i="5"/>
  <c r="S68" i="5" s="1"/>
  <c r="U68" i="5" s="1"/>
  <c r="R73" i="5"/>
  <c r="S73" i="5" s="1"/>
  <c r="U73" i="5" s="1"/>
  <c r="R77" i="5"/>
  <c r="S77" i="5" s="1"/>
  <c r="U77" i="5" s="1"/>
  <c r="R81" i="5"/>
  <c r="S81" i="5" s="1"/>
  <c r="U81" i="5" s="1"/>
  <c r="R85" i="5"/>
  <c r="S85" i="5" s="1"/>
  <c r="U85" i="5" s="1"/>
  <c r="R89" i="5"/>
  <c r="S89" i="5" s="1"/>
  <c r="U89" i="5" s="1"/>
  <c r="U103" i="5"/>
  <c r="U111" i="5"/>
  <c r="U119" i="5"/>
  <c r="U127" i="5"/>
  <c r="R93" i="5"/>
  <c r="S93" i="5" s="1"/>
  <c r="U93" i="5" s="1"/>
  <c r="R97" i="5"/>
  <c r="S97" i="5" s="1"/>
  <c r="U97" i="5" s="1"/>
  <c r="U101" i="5"/>
  <c r="U105" i="5"/>
  <c r="U109" i="5"/>
  <c r="U113" i="5"/>
  <c r="U117" i="5"/>
  <c r="U121" i="5"/>
  <c r="U125" i="5"/>
  <c r="R21" i="5"/>
  <c r="S21" i="5" s="1"/>
  <c r="U21" i="5" s="1"/>
  <c r="R29" i="5"/>
  <c r="S29" i="5" s="1"/>
  <c r="U29" i="5" s="1"/>
  <c r="R27" i="5"/>
  <c r="S27" i="5" s="1"/>
  <c r="U27" i="5" s="1"/>
  <c r="R33" i="5"/>
  <c r="S33" i="5"/>
  <c r="U33" i="5" s="1"/>
  <c r="R37" i="5"/>
  <c r="S37" i="5"/>
  <c r="U37" i="5" s="1"/>
  <c r="R41" i="5"/>
  <c r="S41" i="5"/>
  <c r="U41" i="5" s="1"/>
  <c r="R45" i="5"/>
  <c r="S45" i="5"/>
  <c r="U45" i="5" s="1"/>
  <c r="R49" i="5"/>
  <c r="S49" i="5"/>
  <c r="U49" i="5" s="1"/>
  <c r="R54" i="5"/>
  <c r="S54" i="5"/>
  <c r="U54" i="5" s="1"/>
  <c r="R62" i="5"/>
  <c r="S62" i="5"/>
  <c r="U62" i="5" s="1"/>
  <c r="R70" i="5"/>
  <c r="S70" i="5"/>
  <c r="U70" i="5" s="1"/>
  <c r="R74" i="5"/>
  <c r="S74" i="5"/>
  <c r="U74" i="5" s="1"/>
  <c r="R78" i="5"/>
  <c r="S78" i="5"/>
  <c r="U78" i="5" s="1"/>
  <c r="R82" i="5"/>
  <c r="S82" i="5"/>
  <c r="U82" i="5" s="1"/>
  <c r="R86" i="5"/>
  <c r="S86" i="5"/>
  <c r="U86" i="5" s="1"/>
  <c r="R90" i="5"/>
  <c r="S90" i="5"/>
  <c r="U90" i="5" s="1"/>
  <c r="R94" i="5"/>
  <c r="S94" i="5"/>
  <c r="U94" i="5" s="1"/>
  <c r="R98" i="5"/>
  <c r="S98" i="5"/>
  <c r="U98" i="5" s="1"/>
  <c r="U115" i="5"/>
  <c r="R20" i="5"/>
  <c r="S20" i="5" s="1"/>
  <c r="U20" i="5" s="1"/>
  <c r="R24" i="5"/>
  <c r="S24" i="5" s="1"/>
  <c r="U24" i="5" s="1"/>
  <c r="R28" i="5"/>
  <c r="S28" i="5" s="1"/>
  <c r="U28" i="5" s="1"/>
  <c r="R32" i="5"/>
  <c r="S32" i="5" s="1"/>
  <c r="U32" i="5" s="1"/>
  <c r="R36" i="5"/>
  <c r="S36" i="5" s="1"/>
  <c r="U36" i="5" s="1"/>
  <c r="R40" i="5"/>
  <c r="S40" i="5" s="1"/>
  <c r="U40" i="5" s="1"/>
  <c r="R44" i="5"/>
  <c r="S44" i="5" s="1"/>
  <c r="U44" i="5" s="1"/>
  <c r="R48" i="5"/>
  <c r="S48" i="5" s="1"/>
  <c r="U48" i="5" s="1"/>
  <c r="R58" i="5"/>
  <c r="S58" i="5" s="1"/>
  <c r="U58" i="5" s="1"/>
  <c r="R66" i="5"/>
  <c r="S66" i="5" s="1"/>
  <c r="U66" i="5" s="1"/>
  <c r="U107" i="5"/>
  <c r="U123" i="5"/>
  <c r="R51" i="5"/>
  <c r="S51" i="5" s="1"/>
  <c r="U51" i="5" s="1"/>
  <c r="R55" i="5"/>
  <c r="S55" i="5" s="1"/>
  <c r="U55" i="5" s="1"/>
  <c r="R59" i="5"/>
  <c r="S59" i="5" s="1"/>
  <c r="U59" i="5" s="1"/>
  <c r="R63" i="5"/>
  <c r="S63" i="5" s="1"/>
  <c r="U63" i="5" s="1"/>
  <c r="R67" i="5"/>
  <c r="S67" i="5" s="1"/>
  <c r="U67" i="5" s="1"/>
  <c r="S71" i="5"/>
  <c r="U71" i="5" s="1"/>
  <c r="R71" i="5"/>
  <c r="R75" i="5"/>
  <c r="S75" i="5" s="1"/>
  <c r="U75" i="5" s="1"/>
  <c r="R79" i="5"/>
  <c r="S79" i="5" s="1"/>
  <c r="U79" i="5" s="1"/>
  <c r="R83" i="5"/>
  <c r="S83" i="5" s="1"/>
  <c r="U83" i="5" s="1"/>
  <c r="R87" i="5"/>
  <c r="S87" i="5" s="1"/>
  <c r="U87" i="5" s="1"/>
  <c r="R91" i="5"/>
  <c r="S91" i="5" s="1"/>
  <c r="U91" i="5" s="1"/>
  <c r="R104" i="5"/>
  <c r="S104" i="5" s="1"/>
  <c r="U104" i="5" s="1"/>
  <c r="R112" i="5"/>
  <c r="S112" i="5" s="1"/>
  <c r="U112" i="5" s="1"/>
  <c r="R120" i="5"/>
  <c r="S120" i="5" s="1"/>
  <c r="U120" i="5" s="1"/>
  <c r="R128" i="5"/>
  <c r="S128" i="5" s="1"/>
  <c r="U128" i="5" s="1"/>
  <c r="R95" i="5"/>
  <c r="S95" i="5" s="1"/>
  <c r="U95" i="5" s="1"/>
  <c r="R99" i="5"/>
  <c r="S99" i="5" s="1"/>
  <c r="U99" i="5" s="1"/>
  <c r="R102" i="5"/>
  <c r="S102" i="5" s="1"/>
  <c r="U102" i="5" s="1"/>
  <c r="R106" i="5"/>
  <c r="S106" i="5" s="1"/>
  <c r="U106" i="5" s="1"/>
  <c r="R110" i="5"/>
  <c r="S110" i="5" s="1"/>
  <c r="U110" i="5" s="1"/>
  <c r="R114" i="5"/>
  <c r="S114" i="5" s="1"/>
  <c r="U114" i="5" s="1"/>
  <c r="R118" i="5"/>
  <c r="S118" i="5" s="1"/>
  <c r="U118" i="5" s="1"/>
  <c r="R122" i="5"/>
  <c r="S122" i="5" s="1"/>
  <c r="U122" i="5" s="1"/>
  <c r="R126" i="5"/>
  <c r="S126" i="5" s="1"/>
  <c r="U126" i="5" s="1"/>
  <c r="M57" i="5"/>
  <c r="M72" i="5"/>
  <c r="O23" i="4"/>
  <c r="K27" i="3"/>
  <c r="L27" i="3" s="1"/>
  <c r="M17" i="3" s="1"/>
  <c r="K37" i="3"/>
  <c r="L37" i="3" s="1"/>
  <c r="O28" i="4"/>
  <c r="O24" i="4"/>
  <c r="K24" i="4"/>
  <c r="L24" i="4" s="1"/>
  <c r="M17" i="4" s="1"/>
  <c r="M15" i="4" s="1"/>
  <c r="D32" i="4"/>
  <c r="B32" i="4" s="1"/>
  <c r="B31" i="4"/>
  <c r="O31" i="4"/>
  <c r="K31" i="4"/>
  <c r="L31" i="4" s="1"/>
  <c r="M31" i="4" s="1"/>
  <c r="N31" i="4" s="1"/>
  <c r="O22" i="4"/>
  <c r="K22" i="4"/>
  <c r="L22" i="4" s="1"/>
  <c r="M22" i="4" s="1"/>
  <c r="N22" i="4" s="1"/>
  <c r="O26" i="4"/>
  <c r="K26" i="4"/>
  <c r="L26" i="4" s="1"/>
  <c r="M26" i="4" s="1"/>
  <c r="N26" i="4" s="1"/>
  <c r="O25" i="4"/>
  <c r="K25" i="4"/>
  <c r="L25" i="4" s="1"/>
  <c r="M25" i="4" s="1"/>
  <c r="N25" i="4" s="1"/>
  <c r="K28" i="3"/>
  <c r="L28" i="3" s="1"/>
  <c r="K24" i="3"/>
  <c r="L24" i="3" s="1"/>
  <c r="K26" i="3"/>
  <c r="L26" i="3" s="1"/>
  <c r="K21" i="3"/>
  <c r="L21" i="3" s="1"/>
  <c r="M31" i="3" l="1"/>
  <c r="M52" i="5"/>
  <c r="M73" i="5"/>
  <c r="M92" i="5"/>
  <c r="M44" i="5"/>
  <c r="M66" i="5"/>
  <c r="M88" i="5"/>
  <c r="M37" i="5"/>
  <c r="M34" i="5"/>
  <c r="M32" i="5"/>
  <c r="M31" i="5"/>
  <c r="M28" i="5"/>
  <c r="M26" i="5"/>
  <c r="M25" i="5"/>
  <c r="M23" i="5"/>
  <c r="M21" i="5"/>
  <c r="M20" i="5"/>
  <c r="M111" i="5"/>
  <c r="M30" i="5"/>
  <c r="M27" i="5"/>
  <c r="M54" i="5"/>
  <c r="M94" i="5"/>
  <c r="M48" i="5"/>
  <c r="M69" i="5"/>
  <c r="M90" i="5"/>
  <c r="M38" i="5"/>
  <c r="M115" i="5"/>
  <c r="M112" i="5"/>
  <c r="M109" i="5"/>
  <c r="M107" i="5"/>
  <c r="M106" i="5"/>
  <c r="M119" i="5"/>
  <c r="M76" i="5"/>
  <c r="M50" i="5"/>
  <c r="M70" i="5"/>
  <c r="M91" i="5"/>
  <c r="M43" i="5"/>
  <c r="M40" i="5"/>
  <c r="M63" i="5"/>
  <c r="M61" i="5"/>
  <c r="M60" i="5"/>
  <c r="M58" i="5"/>
  <c r="M55" i="5"/>
  <c r="M51" i="5"/>
  <c r="M49" i="5"/>
  <c r="M45" i="5"/>
  <c r="M42" i="5"/>
  <c r="M39" i="5"/>
  <c r="M36" i="5"/>
  <c r="M71" i="5"/>
  <c r="M68" i="5"/>
  <c r="M77" i="5"/>
  <c r="M74" i="5"/>
  <c r="M93" i="5"/>
  <c r="M46" i="5"/>
  <c r="M67" i="5"/>
  <c r="M89" i="5"/>
  <c r="M118" i="5"/>
  <c r="M116" i="5"/>
  <c r="M114" i="5"/>
  <c r="M120" i="5"/>
  <c r="M117" i="5"/>
  <c r="M113" i="5"/>
  <c r="M33" i="5"/>
  <c r="M56" i="5"/>
  <c r="M105" i="5"/>
  <c r="M78" i="5"/>
  <c r="M80" i="5"/>
  <c r="M82" i="5"/>
  <c r="M84" i="5"/>
  <c r="M86" i="5"/>
  <c r="M64" i="5"/>
  <c r="M96" i="5"/>
  <c r="M127" i="5"/>
  <c r="M101" i="5"/>
  <c r="M47" i="5"/>
  <c r="M123" i="5"/>
  <c r="M22" i="5"/>
  <c r="M24" i="5"/>
  <c r="M128" i="5"/>
  <c r="M97" i="5"/>
  <c r="M41" i="5"/>
  <c r="M124" i="5"/>
  <c r="M102" i="5"/>
  <c r="M108" i="5"/>
  <c r="M104" i="5"/>
  <c r="M110" i="5"/>
  <c r="M75" i="5"/>
  <c r="M79" i="5"/>
  <c r="M81" i="5"/>
  <c r="M83" i="5"/>
  <c r="M85" i="5"/>
  <c r="M87" i="5"/>
  <c r="M95" i="5"/>
  <c r="M100" i="5"/>
  <c r="M35" i="5"/>
  <c r="M125" i="5"/>
  <c r="M103" i="5"/>
  <c r="M59" i="5"/>
  <c r="M62" i="5"/>
  <c r="M98" i="5"/>
  <c r="M29" i="5"/>
  <c r="M126" i="5"/>
  <c r="M99" i="5"/>
  <c r="M53" i="5"/>
  <c r="M122" i="5"/>
  <c r="M121" i="5"/>
  <c r="M65" i="5"/>
  <c r="M15" i="5"/>
  <c r="N72" i="5" s="1"/>
  <c r="M24" i="4"/>
  <c r="N24" i="4" s="1"/>
  <c r="M29" i="4"/>
  <c r="N29" i="4" s="1"/>
  <c r="M30" i="4"/>
  <c r="N30" i="4" s="1"/>
  <c r="M21" i="4"/>
  <c r="N21" i="4" s="1"/>
  <c r="M23" i="4"/>
  <c r="N23" i="4" s="1"/>
  <c r="M28" i="4"/>
  <c r="N28" i="4" s="1"/>
  <c r="M32" i="4"/>
  <c r="N32" i="4" s="1"/>
  <c r="M21" i="3"/>
  <c r="M26" i="3"/>
  <c r="M15" i="3"/>
  <c r="N31" i="3" s="1"/>
  <c r="M32" i="3"/>
  <c r="M37" i="3"/>
  <c r="N37" i="3" s="1"/>
  <c r="M36" i="3"/>
  <c r="M34" i="3"/>
  <c r="N34" i="3" s="1"/>
  <c r="M35" i="3"/>
  <c r="M23" i="3"/>
  <c r="N23" i="3" s="1"/>
  <c r="M25" i="3"/>
  <c r="M24" i="3"/>
  <c r="N24" i="3" s="1"/>
  <c r="M28" i="3"/>
  <c r="M29" i="3"/>
  <c r="N29" i="3" s="1"/>
  <c r="M33" i="3"/>
  <c r="M27" i="3"/>
  <c r="N27" i="3" s="1"/>
  <c r="V111" i="5" l="1"/>
  <c r="V105" i="5"/>
  <c r="V121" i="5"/>
  <c r="V123" i="5"/>
  <c r="V23" i="5"/>
  <c r="V103" i="5"/>
  <c r="V101" i="5"/>
  <c r="V117" i="5"/>
  <c r="V33" i="5"/>
  <c r="V41" i="5"/>
  <c r="V49" i="5"/>
  <c r="V62" i="5"/>
  <c r="V74" i="5"/>
  <c r="V82" i="5"/>
  <c r="V90" i="5"/>
  <c r="V98" i="5"/>
  <c r="V71" i="5"/>
  <c r="V42" i="5"/>
  <c r="V65" i="5"/>
  <c r="V84" i="5"/>
  <c r="V100" i="5"/>
  <c r="V30" i="5"/>
  <c r="V47" i="5"/>
  <c r="V108" i="5"/>
  <c r="V60" i="5"/>
  <c r="V77" i="5"/>
  <c r="V93" i="5"/>
  <c r="V24" i="5"/>
  <c r="V40" i="5"/>
  <c r="V66" i="5"/>
  <c r="V63" i="5"/>
  <c r="V83" i="5"/>
  <c r="V112" i="5"/>
  <c r="V99" i="5"/>
  <c r="V114" i="5"/>
  <c r="V38" i="5"/>
  <c r="V57" i="5"/>
  <c r="V80" i="5"/>
  <c r="V96" i="5"/>
  <c r="V26" i="5"/>
  <c r="V43" i="5"/>
  <c r="V69" i="5"/>
  <c r="V56" i="5"/>
  <c r="V73" i="5"/>
  <c r="V89" i="5"/>
  <c r="V21" i="5"/>
  <c r="V20" i="5"/>
  <c r="V36" i="5"/>
  <c r="V58" i="5"/>
  <c r="V59" i="5"/>
  <c r="V79" i="5"/>
  <c r="V104" i="5"/>
  <c r="V95" i="5"/>
  <c r="V110" i="5"/>
  <c r="V126" i="5"/>
  <c r="V127" i="5"/>
  <c r="V113" i="5"/>
  <c r="V115" i="5"/>
  <c r="V25" i="5"/>
  <c r="V31" i="5"/>
  <c r="V119" i="5"/>
  <c r="V109" i="5"/>
  <c r="V125" i="5"/>
  <c r="V37" i="5"/>
  <c r="V45" i="5"/>
  <c r="V54" i="5"/>
  <c r="V70" i="5"/>
  <c r="V78" i="5"/>
  <c r="V86" i="5"/>
  <c r="V94" i="5"/>
  <c r="V107" i="5"/>
  <c r="V34" i="5"/>
  <c r="V50" i="5"/>
  <c r="V76" i="5"/>
  <c r="V92" i="5"/>
  <c r="V22" i="5"/>
  <c r="V39" i="5"/>
  <c r="V61" i="5"/>
  <c r="V52" i="5"/>
  <c r="V68" i="5"/>
  <c r="V85" i="5"/>
  <c r="V29" i="5"/>
  <c r="V32" i="5"/>
  <c r="V48" i="5"/>
  <c r="V55" i="5"/>
  <c r="V75" i="5"/>
  <c r="V91" i="5"/>
  <c r="V128" i="5"/>
  <c r="V106" i="5"/>
  <c r="V122" i="5"/>
  <c r="V46" i="5"/>
  <c r="V72" i="5"/>
  <c r="V88" i="5"/>
  <c r="V116" i="5"/>
  <c r="V35" i="5"/>
  <c r="V53" i="5"/>
  <c r="V124" i="5"/>
  <c r="V64" i="5"/>
  <c r="V81" i="5"/>
  <c r="V97" i="5"/>
  <c r="V27" i="5"/>
  <c r="V28" i="5"/>
  <c r="V44" i="5"/>
  <c r="V51" i="5"/>
  <c r="V67" i="5"/>
  <c r="V87" i="5"/>
  <c r="V120" i="5"/>
  <c r="V102" i="5"/>
  <c r="V118" i="5"/>
  <c r="N57" i="5"/>
  <c r="N53" i="5"/>
  <c r="N59" i="5"/>
  <c r="N24" i="5"/>
  <c r="N56" i="5"/>
  <c r="N46" i="5"/>
  <c r="N68" i="5"/>
  <c r="N36" i="5"/>
  <c r="N42" i="5"/>
  <c r="N49" i="5"/>
  <c r="N55" i="5"/>
  <c r="N60" i="5"/>
  <c r="N63" i="5"/>
  <c r="N43" i="5"/>
  <c r="N70" i="5"/>
  <c r="N48" i="5"/>
  <c r="N54" i="5"/>
  <c r="N30" i="5"/>
  <c r="N20" i="5"/>
  <c r="N23" i="5"/>
  <c r="N26" i="5"/>
  <c r="N31" i="5"/>
  <c r="N34" i="5"/>
  <c r="N44" i="5"/>
  <c r="N65" i="5"/>
  <c r="N29" i="5"/>
  <c r="N62" i="5"/>
  <c r="N35" i="5"/>
  <c r="N41" i="5"/>
  <c r="N22" i="5"/>
  <c r="N47" i="5"/>
  <c r="N64" i="5"/>
  <c r="N33" i="5"/>
  <c r="N67" i="5"/>
  <c r="N71" i="5"/>
  <c r="N39" i="5"/>
  <c r="N45" i="5"/>
  <c r="N51" i="5"/>
  <c r="N58" i="5"/>
  <c r="N61" i="5"/>
  <c r="N40" i="5"/>
  <c r="N50" i="5"/>
  <c r="N38" i="5"/>
  <c r="N69" i="5"/>
  <c r="N27" i="5"/>
  <c r="N21" i="5"/>
  <c r="N25" i="5"/>
  <c r="N28" i="5"/>
  <c r="N32" i="5"/>
  <c r="N37" i="5"/>
  <c r="N66" i="5"/>
  <c r="N52" i="5"/>
  <c r="N122" i="5"/>
  <c r="N99" i="5"/>
  <c r="N103" i="5"/>
  <c r="N95" i="5"/>
  <c r="N85" i="5"/>
  <c r="N81" i="5"/>
  <c r="N75" i="5"/>
  <c r="N104" i="5"/>
  <c r="N102" i="5"/>
  <c r="N128" i="5"/>
  <c r="N127" i="5"/>
  <c r="N84" i="5"/>
  <c r="N80" i="5"/>
  <c r="N105" i="5"/>
  <c r="N117" i="5"/>
  <c r="N114" i="5"/>
  <c r="N118" i="5"/>
  <c r="N93" i="5"/>
  <c r="N77" i="5"/>
  <c r="N91" i="5"/>
  <c r="N119" i="5"/>
  <c r="N107" i="5"/>
  <c r="N112" i="5"/>
  <c r="N94" i="5"/>
  <c r="N111" i="5"/>
  <c r="N92" i="5"/>
  <c r="N121" i="5"/>
  <c r="N126" i="5"/>
  <c r="N98" i="5"/>
  <c r="N125" i="5"/>
  <c r="N100" i="5"/>
  <c r="N87" i="5"/>
  <c r="N83" i="5"/>
  <c r="N79" i="5"/>
  <c r="N110" i="5"/>
  <c r="N108" i="5"/>
  <c r="N124" i="5"/>
  <c r="N97" i="5"/>
  <c r="N123" i="5"/>
  <c r="N101" i="5"/>
  <c r="N96" i="5"/>
  <c r="N86" i="5"/>
  <c r="N82" i="5"/>
  <c r="N78" i="5"/>
  <c r="N113" i="5"/>
  <c r="N120" i="5"/>
  <c r="N116" i="5"/>
  <c r="N89" i="5"/>
  <c r="N74" i="5"/>
  <c r="N76" i="5"/>
  <c r="N106" i="5"/>
  <c r="N109" i="5"/>
  <c r="N115" i="5"/>
  <c r="N90" i="5"/>
  <c r="N88" i="5"/>
  <c r="N73" i="5"/>
  <c r="N33" i="3"/>
  <c r="N28" i="3"/>
  <c r="N25" i="3"/>
  <c r="N35" i="3"/>
  <c r="N36" i="3"/>
  <c r="N32" i="3"/>
  <c r="N26" i="3"/>
  <c r="N21" i="3"/>
</calcChain>
</file>

<file path=xl/sharedStrings.xml><?xml version="1.0" encoding="utf-8"?>
<sst xmlns="http://schemas.openxmlformats.org/spreadsheetml/2006/main" count="336" uniqueCount="100">
  <si>
    <t>A</t>
  </si>
  <si>
    <t>Z</t>
  </si>
  <si>
    <t>T_1/2 [s]</t>
  </si>
  <si>
    <t>m</t>
  </si>
  <si>
    <t>list of nuclides with intensity from LISE++ simulation</t>
  </si>
  <si>
    <t>E-kin =</t>
  </si>
  <si>
    <t>MeV/u</t>
  </si>
  <si>
    <t>gamma =</t>
  </si>
  <si>
    <t>v =</t>
  </si>
  <si>
    <t>m/s</t>
  </si>
  <si>
    <t>Brho_0 =</t>
  </si>
  <si>
    <t>Brho [Tm]</t>
  </si>
  <si>
    <t>L [m]</t>
  </si>
  <si>
    <t>c =</t>
  </si>
  <si>
    <t>relative</t>
  </si>
  <si>
    <t>Intensity</t>
  </si>
  <si>
    <t>L_0 =</t>
  </si>
  <si>
    <t>m [u]</t>
  </si>
  <si>
    <t>m/q [u/e]</t>
  </si>
  <si>
    <t>q</t>
  </si>
  <si>
    <t>stable</t>
  </si>
  <si>
    <t>f [MHz]</t>
  </si>
  <si>
    <t>ref. [MHz]</t>
  </si>
  <si>
    <t>df [MHz]</t>
  </si>
  <si>
    <t>const =</t>
  </si>
  <si>
    <t>alpha_p =</t>
  </si>
  <si>
    <t>element</t>
  </si>
  <si>
    <t>list of nuclides preselected by LISE++</t>
  </si>
  <si>
    <t>from LISE++</t>
  </si>
  <si>
    <t>masses for ions</t>
  </si>
  <si>
    <t>harmonic h=</t>
  </si>
  <si>
    <t>kHz</t>
  </si>
  <si>
    <t>cm</t>
  </si>
  <si>
    <t>MHz</t>
  </si>
  <si>
    <t>gamma_t =</t>
  </si>
  <si>
    <t xml:space="preserve"> in isoc mode</t>
  </si>
  <si>
    <t>Ge</t>
  </si>
  <si>
    <t>As</t>
  </si>
  <si>
    <t>setting for 72Ge injection into ESR with Be 1840 mg/cm^2 target</t>
  </si>
  <si>
    <t>Ga</t>
  </si>
  <si>
    <t>Tm</t>
  </si>
  <si>
    <t>beta =</t>
  </si>
  <si>
    <t>Se</t>
  </si>
  <si>
    <t>Ni</t>
  </si>
  <si>
    <t>Ca</t>
  </si>
  <si>
    <t>S</t>
  </si>
  <si>
    <t>Cr</t>
  </si>
  <si>
    <t>Zn</t>
  </si>
  <si>
    <t>Cu</t>
  </si>
  <si>
    <t>band width [MHz]</t>
  </si>
  <si>
    <t>df2 [MHz]</t>
  </si>
  <si>
    <t>ref.</t>
  </si>
  <si>
    <t>goal</t>
  </si>
  <si>
    <t>Frequency spectrum of nuclides injected into ESR, E143</t>
  </si>
  <si>
    <t>shift by to other harmonic if outside band width (f2)</t>
  </si>
  <si>
    <t>H. Weick  07.05.2021</t>
  </si>
  <si>
    <t>delta_Brho</t>
  </si>
  <si>
    <t>Br</t>
  </si>
  <si>
    <t>Co</t>
  </si>
  <si>
    <t>Fe</t>
  </si>
  <si>
    <t>Mn</t>
  </si>
  <si>
    <t>m/q =</t>
  </si>
  <si>
    <t xml:space="preserve">  (isoc)</t>
  </si>
  <si>
    <t>short</t>
  </si>
  <si>
    <t>odd nuclei have short lifetime 100-200 ms</t>
  </si>
  <si>
    <t>setting for A/Z=2 injection into ESR with Be 1840 mg/cm^2 target</t>
  </si>
  <si>
    <t/>
  </si>
  <si>
    <t>Rb</t>
  </si>
  <si>
    <t>Kr</t>
  </si>
  <si>
    <t>V</t>
  </si>
  <si>
    <t>Ti</t>
  </si>
  <si>
    <t>Sc</t>
  </si>
  <si>
    <t>K</t>
  </si>
  <si>
    <t>Ar</t>
  </si>
  <si>
    <t>Cl</t>
  </si>
  <si>
    <t>P</t>
  </si>
  <si>
    <t>Si</t>
  </si>
  <si>
    <t>Al</t>
  </si>
  <si>
    <t>Mg</t>
  </si>
  <si>
    <t>Na</t>
  </si>
  <si>
    <t>Ne</t>
  </si>
  <si>
    <t>F</t>
  </si>
  <si>
    <t>O</t>
  </si>
  <si>
    <t>N</t>
  </si>
  <si>
    <t>C</t>
  </si>
  <si>
    <t>B</t>
  </si>
  <si>
    <t>setting for 70Se injection into ESR with Be 1840 mg/cm^2 target</t>
  </si>
  <si>
    <t>70m</t>
  </si>
  <si>
    <t>???</t>
  </si>
  <si>
    <t>52m</t>
  </si>
  <si>
    <t>gamma</t>
  </si>
  <si>
    <t>gamma*beta</t>
  </si>
  <si>
    <t>beta</t>
  </si>
  <si>
    <t>df/f-v</t>
  </si>
  <si>
    <t>df/f-m/q</t>
  </si>
  <si>
    <t>when electron cooled (fixed v)</t>
  </si>
  <si>
    <t>when isoc and uncooled, (av. Brho fixed)</t>
  </si>
  <si>
    <t>dfh [MHz]</t>
  </si>
  <si>
    <t>H. Weick  08.05.2021</t>
  </si>
  <si>
    <t>H. Weick  08.05.2021, 17:30h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</si>
</sst>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0"/>
    <numFmt numFmtId="165" formatCode="0.000"/>
    <numFmt numFmtId="166" formatCode="0.00000"/>
    <numFmt numFmtId="167" formatCode="0.0000"/>
    <numFmt numFmtId="168" formatCode="0.00000000"/>
    <numFmt numFmtId="169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11" fontId="0" fillId="0" borderId="0" xfId="0" applyNumberFormat="1" applyFill="1"/>
    <xf numFmtId="11" fontId="2" fillId="0" borderId="0" xfId="0" applyNumberFormat="1" applyFont="1" applyFill="1"/>
    <xf numFmtId="0" fontId="2" fillId="0" borderId="0" xfId="0" applyFont="1" applyFill="1"/>
    <xf numFmtId="0" fontId="0" fillId="2" borderId="0" xfId="0" applyFill="1"/>
    <xf numFmtId="1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7" fontId="0" fillId="3" borderId="0" xfId="0" applyNumberFormat="1" applyFill="1"/>
    <xf numFmtId="0" fontId="0" fillId="4" borderId="0" xfId="0" applyFill="1"/>
    <xf numFmtId="164" fontId="1" fillId="0" borderId="0" xfId="0" applyNumberFormat="1" applyFont="1"/>
    <xf numFmtId="167" fontId="0" fillId="0" borderId="0" xfId="0" applyNumberFormat="1"/>
    <xf numFmtId="11" fontId="1" fillId="0" borderId="0" xfId="0" applyNumberFormat="1" applyFont="1"/>
    <xf numFmtId="1" fontId="1" fillId="0" borderId="0" xfId="0" applyNumberFormat="1" applyFont="1"/>
    <xf numFmtId="16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65" fontId="0" fillId="0" borderId="0" xfId="0" applyNumberFormat="1" applyBorder="1"/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/>
    <xf numFmtId="0" fontId="1" fillId="0" borderId="0" xfId="0" applyFont="1" applyFill="1" applyAlignment="1">
      <alignment horizontal="center"/>
    </xf>
    <xf numFmtId="167" fontId="1" fillId="0" borderId="0" xfId="0" applyNumberFormat="1" applyFont="1"/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6" fontId="1" fillId="0" borderId="0" xfId="0" applyNumberFormat="1" applyFont="1" applyFill="1"/>
    <xf numFmtId="168" fontId="0" fillId="0" borderId="0" xfId="0" applyNumberFormat="1"/>
    <xf numFmtId="165" fontId="0" fillId="0" borderId="0" xfId="0" applyNumberFormat="1" applyFill="1"/>
    <xf numFmtId="2" fontId="0" fillId="0" borderId="0" xfId="0" applyNumberForma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5" fontId="1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165" fontId="1" fillId="0" borderId="0" xfId="0" applyNumberFormat="1" applyFont="1" applyFill="1"/>
    <xf numFmtId="0" fontId="4" fillId="0" borderId="0" xfId="0" applyFont="1" applyAlignment="1">
      <alignment vertical="center"/>
    </xf>
    <xf numFmtId="167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11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/>
    <xf numFmtId="1" fontId="3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0" fillId="5" borderId="0" xfId="0" applyFill="1"/>
    <xf numFmtId="0" fontId="1" fillId="5" borderId="0" xfId="0" applyFont="1" applyFill="1"/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right"/>
    </xf>
    <xf numFmtId="167" fontId="3" fillId="7" borderId="0" xfId="0" applyNumberFormat="1" applyFont="1" applyFill="1" applyAlignment="1">
      <alignment horizontal="right"/>
    </xf>
    <xf numFmtId="1" fontId="1" fillId="7" borderId="0" xfId="0" applyNumberFormat="1" applyFont="1" applyFill="1" applyAlignment="1">
      <alignment horizontal="right"/>
    </xf>
    <xf numFmtId="11" fontId="1" fillId="7" borderId="0" xfId="0" applyNumberFormat="1" applyFont="1" applyFill="1" applyBorder="1" applyAlignment="1">
      <alignment horizontal="right"/>
    </xf>
    <xf numFmtId="164" fontId="1" fillId="7" borderId="0" xfId="0" applyNumberFormat="1" applyFont="1" applyFill="1" applyAlignment="1">
      <alignment horizontal="right"/>
    </xf>
    <xf numFmtId="165" fontId="1" fillId="7" borderId="0" xfId="0" applyNumberFormat="1" applyFont="1" applyFill="1" applyBorder="1" applyAlignment="1">
      <alignment horizontal="right"/>
    </xf>
    <xf numFmtId="167" fontId="1" fillId="7" borderId="0" xfId="0" applyNumberFormat="1" applyFont="1" applyFill="1" applyAlignment="1">
      <alignment horizontal="right"/>
    </xf>
    <xf numFmtId="167" fontId="0" fillId="7" borderId="0" xfId="0" applyNumberFormat="1" applyFill="1"/>
    <xf numFmtId="166" fontId="1" fillId="7" borderId="0" xfId="0" applyNumberFormat="1" applyFont="1" applyFill="1" applyBorder="1"/>
    <xf numFmtId="0" fontId="0" fillId="6" borderId="0" xfId="0" applyFill="1"/>
    <xf numFmtId="0" fontId="2" fillId="6" borderId="0" xfId="0" applyFont="1" applyFill="1"/>
    <xf numFmtId="1" fontId="2" fillId="0" borderId="0" xfId="0" applyNumberFormat="1" applyFont="1" applyFill="1" applyBorder="1"/>
    <xf numFmtId="1" fontId="0" fillId="0" borderId="0" xfId="0" applyNumberFormat="1" applyFill="1" applyBorder="1"/>
    <xf numFmtId="1" fontId="1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right"/>
    </xf>
    <xf numFmtId="166" fontId="3" fillId="7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6" fontId="0" fillId="0" borderId="0" xfId="0" applyNumberFormat="1"/>
    <xf numFmtId="1" fontId="0" fillId="7" borderId="0" xfId="0" applyNumberFormat="1" applyFill="1"/>
    <xf numFmtId="0" fontId="0" fillId="7" borderId="0" xfId="0" applyFill="1" applyAlignment="1">
      <alignment horizontal="center"/>
    </xf>
    <xf numFmtId="166" fontId="0" fillId="7" borderId="0" xfId="0" applyNumberFormat="1" applyFill="1"/>
    <xf numFmtId="164" fontId="1" fillId="7" borderId="0" xfId="0" applyNumberFormat="1" applyFont="1" applyFill="1" applyBorder="1" applyAlignment="1">
      <alignment horizontal="right"/>
    </xf>
    <xf numFmtId="167" fontId="1" fillId="7" borderId="0" xfId="0" applyNumberFormat="1" applyFont="1" applyFill="1" applyBorder="1" applyAlignment="1">
      <alignment horizontal="right"/>
    </xf>
    <xf numFmtId="1" fontId="1" fillId="7" borderId="0" xfId="0" applyNumberFormat="1" applyFont="1" applyFill="1" applyBorder="1" applyAlignment="1">
      <alignment horizontal="right"/>
    </xf>
    <xf numFmtId="169" fontId="0" fillId="0" borderId="0" xfId="0" applyNumberFormat="1"/>
    <xf numFmtId="165" fontId="0" fillId="0" borderId="0" xfId="0" applyNumberFormat="1"/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1" fontId="0" fillId="8" borderId="0" xfId="0" applyNumberFormat="1" applyFill="1"/>
    <xf numFmtId="0" fontId="3" fillId="8" borderId="0" xfId="0" applyFont="1" applyFill="1" applyBorder="1" applyAlignment="1">
      <alignment horizontal="right"/>
    </xf>
    <xf numFmtId="164" fontId="1" fillId="8" borderId="0" xfId="0" applyNumberFormat="1" applyFont="1" applyFill="1" applyBorder="1" applyAlignment="1">
      <alignment horizontal="right"/>
    </xf>
    <xf numFmtId="165" fontId="1" fillId="8" borderId="0" xfId="0" applyNumberFormat="1" applyFont="1" applyFill="1" applyBorder="1" applyAlignment="1">
      <alignment horizontal="right"/>
    </xf>
    <xf numFmtId="167" fontId="1" fillId="8" borderId="0" xfId="0" applyNumberFormat="1" applyFont="1" applyFill="1" applyBorder="1" applyAlignment="1">
      <alignment horizontal="right"/>
    </xf>
    <xf numFmtId="167" fontId="0" fillId="8" borderId="0" xfId="0" applyNumberFormat="1" applyFill="1"/>
    <xf numFmtId="166" fontId="5" fillId="8" borderId="0" xfId="0" applyNumberFormat="1" applyFont="1" applyFill="1"/>
    <xf numFmtId="1" fontId="5" fillId="8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center"/>
    </xf>
    <xf numFmtId="169" fontId="5" fillId="8" borderId="0" xfId="0" applyNumberFormat="1" applyFont="1" applyFill="1" applyBorder="1" applyAlignment="1">
      <alignment horizontal="right"/>
    </xf>
    <xf numFmtId="169" fontId="0" fillId="7" borderId="0" xfId="0" applyNumberFormat="1" applyFill="1"/>
    <xf numFmtId="1" fontId="0" fillId="8" borderId="0" xfId="0" applyNumberFormat="1" applyFill="1" applyAlignment="1">
      <alignment horizontal="right"/>
    </xf>
    <xf numFmtId="0" fontId="0" fillId="8" borderId="0" xfId="0" applyFill="1"/>
    <xf numFmtId="166" fontId="1" fillId="8" borderId="0" xfId="0" applyNumberFormat="1" applyFont="1" applyFill="1" applyBorder="1"/>
    <xf numFmtId="0" fontId="2" fillId="0" borderId="0" xfId="0" applyFont="1"/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0" fillId="8" borderId="0" xfId="0" applyNumberFormat="1" applyFill="1"/>
    <xf numFmtId="167" fontId="1" fillId="8" borderId="0" xfId="0" applyNumberFormat="1" applyFont="1" applyFill="1" applyBorder="1" applyAlignment="1">
      <alignment horizontal="center"/>
    </xf>
    <xf numFmtId="164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8" borderId="0" xfId="0" applyFill="1" applyBorder="1"/>
    <xf numFmtId="164" fontId="0" fillId="7" borderId="0" xfId="0" applyNumberFormat="1" applyFill="1"/>
    <xf numFmtId="167" fontId="1" fillId="7" borderId="0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1" fillId="8" borderId="0" xfId="0" applyFont="1" applyFill="1" applyBorder="1" applyAlignment="1">
      <alignment horizontal="right"/>
    </xf>
    <xf numFmtId="167" fontId="3" fillId="8" borderId="0" xfId="0" applyNumberFormat="1" applyFont="1" applyFill="1" applyAlignment="1">
      <alignment horizontal="right"/>
    </xf>
    <xf numFmtId="1" fontId="5" fillId="8" borderId="0" xfId="0" applyNumberFormat="1" applyFont="1" applyFill="1" applyAlignment="1">
      <alignment horizontal="right"/>
    </xf>
    <xf numFmtId="169" fontId="5" fillId="8" borderId="0" xfId="0" applyNumberFormat="1" applyFont="1" applyFill="1"/>
    <xf numFmtId="167" fontId="1" fillId="8" borderId="0" xfId="0" applyNumberFormat="1" applyFont="1" applyFill="1" applyBorder="1"/>
    <xf numFmtId="0" fontId="2" fillId="4" borderId="1" xfId="0" applyFont="1" applyFill="1" applyBorder="1" applyAlignment="1">
      <alignment horizontal="center"/>
    </xf>
    <xf numFmtId="164" fontId="1" fillId="4" borderId="0" xfId="0" applyNumberFormat="1" applyFont="1" applyFill="1" applyBorder="1"/>
    <xf numFmtId="0" fontId="1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center at</a:t>
            </a:r>
            <a:r>
              <a:rPr lang="en-US" baseline="0"/>
              <a:t> 243.0992 MHz</a:t>
            </a:r>
            <a:endParaRPr lang="en-US"/>
          </a:p>
        </c:rich>
      </c:tx>
      <c:layout>
        <c:manualLayout>
          <c:xMode val="edge"/>
          <c:yMode val="edge"/>
          <c:x val="0.6246095225592817"/>
          <c:y val="0.74523800102876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520912403935117E-2"/>
          <c:y val="5.1342592592592606E-2"/>
          <c:w val="0.84943748937857577"/>
          <c:h val="0.80279662157614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'70Se'!$H$19</c:f>
              <c:strCache>
                <c:ptCount val="1"/>
                <c:pt idx="0">
                  <c:v>Intensity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'70Se'!$U$20:$U$128</c:f>
              <c:numCache>
                <c:formatCode>0.000000</c:formatCode>
                <c:ptCount val="109"/>
                <c:pt idx="0">
                  <c:v>-6.850331244440067</c:v>
                </c:pt>
                <c:pt idx="1">
                  <c:v>-6.2703431771711715</c:v>
                </c:pt>
                <c:pt idx="2">
                  <c:v>-6.0451341321829597</c:v>
                </c:pt>
                <c:pt idx="3">
                  <c:v>-5.7494261584189532</c:v>
                </c:pt>
                <c:pt idx="4">
                  <c:v>-5.2959393535079027</c:v>
                </c:pt>
                <c:pt idx="5">
                  <c:v>-5.2812190286519733</c:v>
                </c:pt>
                <c:pt idx="6">
                  <c:v>-4.8538383078771377</c:v>
                </c:pt>
                <c:pt idx="7">
                  <c:v>-4.687191916017734</c:v>
                </c:pt>
                <c:pt idx="8">
                  <c:v>-4.4679262054512217</c:v>
                </c:pt>
                <c:pt idx="9">
                  <c:v>-4.2552435387490135</c:v>
                </c:pt>
                <c:pt idx="10">
                  <c:v>-4.1331656248321771</c:v>
                </c:pt>
                <c:pt idx="11">
                  <c:v>-4.1143276221963472</c:v>
                </c:pt>
                <c:pt idx="12">
                  <c:v>-3.7910050341761514</c:v>
                </c:pt>
                <c:pt idx="13">
                  <c:v>-3.671627467692411</c:v>
                </c:pt>
                <c:pt idx="14">
                  <c:v>-3.4948386710143846</c:v>
                </c:pt>
                <c:pt idx="15">
                  <c:v>-3.3626476603483577</c:v>
                </c:pt>
                <c:pt idx="16">
                  <c:v>-3.2422989713534212</c:v>
                </c:pt>
                <c:pt idx="17">
                  <c:v>-3.2239037380743856</c:v>
                </c:pt>
                <c:pt idx="18">
                  <c:v>-2.9732658373364038</c:v>
                </c:pt>
                <c:pt idx="19">
                  <c:v>-2.882852624365051</c:v>
                </c:pt>
                <c:pt idx="20">
                  <c:v>-2.7429239957420308</c:v>
                </c:pt>
                <c:pt idx="21">
                  <c:v>-2.631425960007431</c:v>
                </c:pt>
                <c:pt idx="22">
                  <c:v>-2.5398286377184638</c:v>
                </c:pt>
                <c:pt idx="23">
                  <c:v>-2.5299007454345466</c:v>
                </c:pt>
                <c:pt idx="24">
                  <c:v>-2.3306873737467315</c:v>
                </c:pt>
                <c:pt idx="25">
                  <c:v>-2.2491977700795989</c:v>
                </c:pt>
                <c:pt idx="26">
                  <c:v>-2.1453313454513578</c:v>
                </c:pt>
                <c:pt idx="27">
                  <c:v>-2.0409784812666598</c:v>
                </c:pt>
                <c:pt idx="28">
                  <c:v>-1.9707522178833998</c:v>
                </c:pt>
                <c:pt idx="29">
                  <c:v>-1.9645010847376023</c:v>
                </c:pt>
                <c:pt idx="30">
                  <c:v>-1.8076069208453009</c:v>
                </c:pt>
                <c:pt idx="31">
                  <c:v>-1.7228193170025892</c:v>
                </c:pt>
                <c:pt idx="32">
                  <c:v>-1.6532038847217854</c:v>
                </c:pt>
                <c:pt idx="33">
                  <c:v>-1.5532427451107211</c:v>
                </c:pt>
                <c:pt idx="34">
                  <c:v>-1.5073397416614898</c:v>
                </c:pt>
                <c:pt idx="35">
                  <c:v>-1.4869037901489746</c:v>
                </c:pt>
                <c:pt idx="36">
                  <c:v>-1.3699799903166925</c:v>
                </c:pt>
                <c:pt idx="37">
                  <c:v>-1.2857916071626905</c:v>
                </c:pt>
                <c:pt idx="38">
                  <c:v>-1.2847287262755285</c:v>
                </c:pt>
                <c:pt idx="39">
                  <c:v>-1.1413806645005806</c:v>
                </c:pt>
                <c:pt idx="40">
                  <c:v>-1.0856226830048332</c:v>
                </c:pt>
                <c:pt idx="41">
                  <c:v>-0.91586883629482707</c:v>
                </c:pt>
                <c:pt idx="42">
                  <c:v>-0.78700738086277511</c:v>
                </c:pt>
                <c:pt idx="43">
                  <c:v>-0.74825129395929968</c:v>
                </c:pt>
                <c:pt idx="44">
                  <c:v>-0.60633907611600324</c:v>
                </c:pt>
                <c:pt idx="45">
                  <c:v>-0.49079302967666405</c:v>
                </c:pt>
                <c:pt idx="46">
                  <c:v>-0.46384891348614316</c:v>
                </c:pt>
                <c:pt idx="47">
                  <c:v>-0.34173885048882285</c:v>
                </c:pt>
                <c:pt idx="48">
                  <c:v>-0.23431963321831606</c:v>
                </c:pt>
                <c:pt idx="49">
                  <c:v>-0.21699991052594625</c:v>
                </c:pt>
                <c:pt idx="50">
                  <c:v>-0.11092750731439843</c:v>
                </c:pt>
                <c:pt idx="51">
                  <c:v>-7.7704544705812333E-3</c:v>
                </c:pt>
                <c:pt idx="52">
                  <c:v>-1.3417759502610525E-3</c:v>
                </c:pt>
                <c:pt idx="53">
                  <c:v>0</c:v>
                </c:pt>
                <c:pt idx="54">
                  <c:v>9.2923171873863897E-2</c:v>
                </c:pt>
                <c:pt idx="55">
                  <c:v>0.19115618242987581</c:v>
                </c:pt>
                <c:pt idx="56">
                  <c:v>0.19200661937815128</c:v>
                </c:pt>
                <c:pt idx="57">
                  <c:v>0.27653745315810313</c:v>
                </c:pt>
                <c:pt idx="58">
                  <c:v>0.37177238172752286</c:v>
                </c:pt>
                <c:pt idx="59">
                  <c:v>0.52893966890735145</c:v>
                </c:pt>
                <c:pt idx="60">
                  <c:v>0.66993678591126549</c:v>
                </c:pt>
                <c:pt idx="61">
                  <c:v>0.80300194048139328</c:v>
                </c:pt>
                <c:pt idx="62">
                  <c:v>0.92474036543275817</c:v>
                </c:pt>
                <c:pt idx="63">
                  <c:v>1.0370026032705206</c:v>
                </c:pt>
                <c:pt idx="64">
                  <c:v>1.1390290370175979</c:v>
                </c:pt>
                <c:pt idx="65">
                  <c:v>1.2325428767216577</c:v>
                </c:pt>
                <c:pt idx="66">
                  <c:v>1.31988794461282</c:v>
                </c:pt>
                <c:pt idx="67">
                  <c:v>1.39854193979124</c:v>
                </c:pt>
                <c:pt idx="68">
                  <c:v>1.4677709053339554</c:v>
                </c:pt>
                <c:pt idx="69">
                  <c:v>1.5317018984394353</c:v>
                </c:pt>
                <c:pt idx="70">
                  <c:v>1.5918824823653008</c:v>
                </c:pt>
                <c:pt idx="71">
                  <c:v>1.6475722689668988</c:v>
                </c:pt>
                <c:pt idx="72">
                  <c:v>1.7005614971753535</c:v>
                </c:pt>
                <c:pt idx="73">
                  <c:v>1.749288968346502</c:v>
                </c:pt>
                <c:pt idx="74">
                  <c:v>1.7971998931830089</c:v>
                </c:pt>
                <c:pt idx="75">
                  <c:v>3.2061530014863902</c:v>
                </c:pt>
                <c:pt idx="76">
                  <c:v>3.3292263760724738</c:v>
                </c:pt>
                <c:pt idx="77">
                  <c:v>3.3483906780431973</c:v>
                </c:pt>
                <c:pt idx="78">
                  <c:v>3.3543349084286085</c:v>
                </c:pt>
                <c:pt idx="79">
                  <c:v>3.3832697376389116</c:v>
                </c:pt>
                <c:pt idx="80">
                  <c:v>3.390685306957768</c:v>
                </c:pt>
                <c:pt idx="81">
                  <c:v>3.3975632468763464</c:v>
                </c:pt>
                <c:pt idx="82">
                  <c:v>3.4119917550275587</c:v>
                </c:pt>
                <c:pt idx="83">
                  <c:v>3.4255925934809004</c:v>
                </c:pt>
                <c:pt idx="84">
                  <c:v>3.4369774920307199</c:v>
                </c:pt>
                <c:pt idx="85">
                  <c:v>3.442556638924807</c:v>
                </c:pt>
                <c:pt idx="86">
                  <c:v>3.4473527258011276</c:v>
                </c:pt>
                <c:pt idx="87">
                  <c:v>3.44820298612543</c:v>
                </c:pt>
                <c:pt idx="88">
                  <c:v>3.4485248390516485</c:v>
                </c:pt>
                <c:pt idx="89">
                  <c:v>3.4532516642176341</c:v>
                </c:pt>
                <c:pt idx="90">
                  <c:v>3.454091700718799</c:v>
                </c:pt>
                <c:pt idx="91">
                  <c:v>3.4573794664334914</c:v>
                </c:pt>
                <c:pt idx="92">
                  <c:v>3.4589678166132196</c:v>
                </c:pt>
                <c:pt idx="93">
                  <c:v>3.4590601217374233</c:v>
                </c:pt>
                <c:pt idx="94">
                  <c:v>3.4612348703251179</c:v>
                </c:pt>
                <c:pt idx="95">
                  <c:v>3.4634508484751882</c:v>
                </c:pt>
                <c:pt idx="96">
                  <c:v>3.4638088371780977</c:v>
                </c:pt>
                <c:pt idx="97">
                  <c:v>3.4683960002234531</c:v>
                </c:pt>
                <c:pt idx="98">
                  <c:v>3.4724588621596593</c:v>
                </c:pt>
                <c:pt idx="99">
                  <c:v>6.6674016553286153</c:v>
                </c:pt>
                <c:pt idx="100">
                  <c:v>6.8586562194645069</c:v>
                </c:pt>
                <c:pt idx="101">
                  <c:v>7.073665481483884</c:v>
                </c:pt>
                <c:pt idx="102">
                  <c:v>7.3079059824638986</c:v>
                </c:pt>
                <c:pt idx="103">
                  <c:v>7.5808389243101288</c:v>
                </c:pt>
                <c:pt idx="104">
                  <c:v>7.8965172134270292</c:v>
                </c:pt>
                <c:pt idx="105">
                  <c:v>8.2662895132482106</c:v>
                </c:pt>
                <c:pt idx="106">
                  <c:v>8.7006529462662687</c:v>
                </c:pt>
                <c:pt idx="107">
                  <c:v>9.2443861045693456</c:v>
                </c:pt>
                <c:pt idx="108">
                  <c:v>9.9042895414835179</c:v>
                </c:pt>
              </c:numCache>
            </c:numRef>
          </c:xVal>
          <c:yVal>
            <c:numRef>
              <c:f>'70Se'!$H$20:$H$128</c:f>
              <c:numCache>
                <c:formatCode>0.0</c:formatCode>
                <c:ptCount val="109"/>
                <c:pt idx="0">
                  <c:v>1.74</c:v>
                </c:pt>
                <c:pt idx="1">
                  <c:v>3.31</c:v>
                </c:pt>
                <c:pt idx="2">
                  <c:v>1.02</c:v>
                </c:pt>
                <c:pt idx="3">
                  <c:v>6.06</c:v>
                </c:pt>
                <c:pt idx="4">
                  <c:v>2.35</c:v>
                </c:pt>
                <c:pt idx="5">
                  <c:v>11.4</c:v>
                </c:pt>
                <c:pt idx="6">
                  <c:v>8.6300000000000008</c:v>
                </c:pt>
                <c:pt idx="7">
                  <c:v>8.18</c:v>
                </c:pt>
                <c:pt idx="8">
                  <c:v>14.2</c:v>
                </c:pt>
                <c:pt idx="9">
                  <c:v>1.43</c:v>
                </c:pt>
                <c:pt idx="10">
                  <c:v>15.5</c:v>
                </c:pt>
                <c:pt idx="11">
                  <c:v>22.5</c:v>
                </c:pt>
                <c:pt idx="12">
                  <c:v>35.299999999999997</c:v>
                </c:pt>
                <c:pt idx="13">
                  <c:v>20.3</c:v>
                </c:pt>
                <c:pt idx="14">
                  <c:v>49</c:v>
                </c:pt>
                <c:pt idx="15">
                  <c:v>2.73</c:v>
                </c:pt>
                <c:pt idx="16">
                  <c:v>37.5</c:v>
                </c:pt>
                <c:pt idx="17">
                  <c:v>70.8</c:v>
                </c:pt>
                <c:pt idx="18">
                  <c:v>100</c:v>
                </c:pt>
                <c:pt idx="19">
                  <c:v>59.3</c:v>
                </c:pt>
                <c:pt idx="20">
                  <c:v>85.2</c:v>
                </c:pt>
                <c:pt idx="21">
                  <c:v>4.84</c:v>
                </c:pt>
                <c:pt idx="22">
                  <c:v>86.4</c:v>
                </c:pt>
                <c:pt idx="23">
                  <c:v>139</c:v>
                </c:pt>
                <c:pt idx="24">
                  <c:v>225</c:v>
                </c:pt>
                <c:pt idx="25">
                  <c:v>120</c:v>
                </c:pt>
                <c:pt idx="26">
                  <c:v>226</c:v>
                </c:pt>
                <c:pt idx="27">
                  <c:v>8.56</c:v>
                </c:pt>
                <c:pt idx="28">
                  <c:v>240</c:v>
                </c:pt>
                <c:pt idx="29">
                  <c:v>179</c:v>
                </c:pt>
                <c:pt idx="30">
                  <c:v>304</c:v>
                </c:pt>
                <c:pt idx="31">
                  <c:v>244</c:v>
                </c:pt>
                <c:pt idx="32">
                  <c:v>422</c:v>
                </c:pt>
                <c:pt idx="33">
                  <c:v>13.7</c:v>
                </c:pt>
                <c:pt idx="34">
                  <c:v>502</c:v>
                </c:pt>
                <c:pt idx="35">
                  <c:v>328</c:v>
                </c:pt>
                <c:pt idx="36">
                  <c:v>97.4</c:v>
                </c:pt>
                <c:pt idx="37">
                  <c:v>0</c:v>
                </c:pt>
                <c:pt idx="38">
                  <c:v>433</c:v>
                </c:pt>
                <c:pt idx="39">
                  <c:v>21</c:v>
                </c:pt>
                <c:pt idx="40">
                  <c:v>576</c:v>
                </c:pt>
                <c:pt idx="41">
                  <c:v>729</c:v>
                </c:pt>
                <c:pt idx="42">
                  <c:v>32.6</c:v>
                </c:pt>
                <c:pt idx="43">
                  <c:v>1020</c:v>
                </c:pt>
                <c:pt idx="44">
                  <c:v>1380</c:v>
                </c:pt>
                <c:pt idx="45">
                  <c:v>46.9</c:v>
                </c:pt>
                <c:pt idx="46">
                  <c:v>1960</c:v>
                </c:pt>
                <c:pt idx="47">
                  <c:v>2970</c:v>
                </c:pt>
                <c:pt idx="48">
                  <c:v>64.900000000000006</c:v>
                </c:pt>
                <c:pt idx="49">
                  <c:v>4270</c:v>
                </c:pt>
                <c:pt idx="50">
                  <c:v>5890</c:v>
                </c:pt>
                <c:pt idx="51">
                  <c:v>86.6</c:v>
                </c:pt>
                <c:pt idx="52">
                  <c:v>0</c:v>
                </c:pt>
                <c:pt idx="53">
                  <c:v>6710</c:v>
                </c:pt>
                <c:pt idx="54">
                  <c:v>5490</c:v>
                </c:pt>
                <c:pt idx="55">
                  <c:v>116</c:v>
                </c:pt>
                <c:pt idx="56">
                  <c:v>2230</c:v>
                </c:pt>
                <c:pt idx="57">
                  <c:v>164</c:v>
                </c:pt>
                <c:pt idx="58">
                  <c:v>145</c:v>
                </c:pt>
                <c:pt idx="59">
                  <c:v>171</c:v>
                </c:pt>
                <c:pt idx="60">
                  <c:v>196</c:v>
                </c:pt>
                <c:pt idx="61">
                  <c:v>235</c:v>
                </c:pt>
                <c:pt idx="62">
                  <c:v>256</c:v>
                </c:pt>
                <c:pt idx="63">
                  <c:v>268</c:v>
                </c:pt>
                <c:pt idx="64">
                  <c:v>277</c:v>
                </c:pt>
                <c:pt idx="65">
                  <c:v>330</c:v>
                </c:pt>
                <c:pt idx="66">
                  <c:v>314</c:v>
                </c:pt>
                <c:pt idx="67">
                  <c:v>298</c:v>
                </c:pt>
                <c:pt idx="68">
                  <c:v>274</c:v>
                </c:pt>
                <c:pt idx="69">
                  <c:v>248</c:v>
                </c:pt>
                <c:pt idx="70">
                  <c:v>200</c:v>
                </c:pt>
                <c:pt idx="71">
                  <c:v>124</c:v>
                </c:pt>
                <c:pt idx="72">
                  <c:v>52.7</c:v>
                </c:pt>
                <c:pt idx="73">
                  <c:v>13</c:v>
                </c:pt>
                <c:pt idx="74">
                  <c:v>1.35</c:v>
                </c:pt>
                <c:pt idx="75">
                  <c:v>3</c:v>
                </c:pt>
                <c:pt idx="76">
                  <c:v>4.4800000000000004</c:v>
                </c:pt>
                <c:pt idx="77">
                  <c:v>8.86</c:v>
                </c:pt>
                <c:pt idx="78">
                  <c:v>3.33</c:v>
                </c:pt>
                <c:pt idx="79">
                  <c:v>15.5</c:v>
                </c:pt>
                <c:pt idx="80">
                  <c:v>6.6</c:v>
                </c:pt>
                <c:pt idx="81">
                  <c:v>12.3</c:v>
                </c:pt>
                <c:pt idx="82">
                  <c:v>23.8</c:v>
                </c:pt>
                <c:pt idx="83">
                  <c:v>20</c:v>
                </c:pt>
                <c:pt idx="84">
                  <c:v>31.4</c:v>
                </c:pt>
                <c:pt idx="85">
                  <c:v>34.299999999999997</c:v>
                </c:pt>
                <c:pt idx="86">
                  <c:v>32.200000000000003</c:v>
                </c:pt>
                <c:pt idx="87">
                  <c:v>25.1</c:v>
                </c:pt>
                <c:pt idx="88">
                  <c:v>27.2</c:v>
                </c:pt>
                <c:pt idx="89">
                  <c:v>18.2</c:v>
                </c:pt>
                <c:pt idx="90">
                  <c:v>33.4</c:v>
                </c:pt>
                <c:pt idx="91">
                  <c:v>34.700000000000003</c:v>
                </c:pt>
                <c:pt idx="92">
                  <c:v>8.91</c:v>
                </c:pt>
                <c:pt idx="93">
                  <c:v>21.1</c:v>
                </c:pt>
                <c:pt idx="94">
                  <c:v>28.6</c:v>
                </c:pt>
                <c:pt idx="95">
                  <c:v>3.29</c:v>
                </c:pt>
                <c:pt idx="96">
                  <c:v>13.8</c:v>
                </c:pt>
                <c:pt idx="97">
                  <c:v>5.53</c:v>
                </c:pt>
                <c:pt idx="98">
                  <c:v>1.73</c:v>
                </c:pt>
                <c:pt idx="99">
                  <c:v>1.08</c:v>
                </c:pt>
                <c:pt idx="100">
                  <c:v>1.37</c:v>
                </c:pt>
                <c:pt idx="101">
                  <c:v>1.69</c:v>
                </c:pt>
                <c:pt idx="102">
                  <c:v>1.88</c:v>
                </c:pt>
                <c:pt idx="103">
                  <c:v>2.02</c:v>
                </c:pt>
                <c:pt idx="104">
                  <c:v>2.06</c:v>
                </c:pt>
                <c:pt idx="105">
                  <c:v>1.89</c:v>
                </c:pt>
                <c:pt idx="106">
                  <c:v>1.73</c:v>
                </c:pt>
                <c:pt idx="107">
                  <c:v>1.4</c:v>
                </c:pt>
                <c:pt idx="108">
                  <c:v>1.06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2D-461C-987A-13505209B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200584"/>
        <c:axId val="401196320"/>
      </c:scatterChart>
      <c:valAx>
        <c:axId val="401200584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df [MHz] at h=126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96320"/>
        <c:crossesAt val="10"/>
        <c:crossBetween val="midCat"/>
        <c:majorUnit val="0.1"/>
        <c:minorUnit val="5.000000000000001E-2"/>
      </c:valAx>
      <c:valAx>
        <c:axId val="401196320"/>
        <c:scaling>
          <c:logBase val="10"/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intensity</a:t>
                </a:r>
              </a:p>
            </c:rich>
          </c:tx>
          <c:layout>
            <c:manualLayout>
              <c:xMode val="edge"/>
              <c:yMode val="edge"/>
              <c:x val="1.1510791366906475E-2"/>
              <c:y val="0.38209207632829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20058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95249</xdr:colOff>
      <xdr:row>22</xdr:row>
      <xdr:rowOff>76200</xdr:rowOff>
    </xdr:from>
    <xdr:to>
      <xdr:col>30</xdr:col>
      <xdr:colOff>514350</xdr:colOff>
      <xdr:row>45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9"/>
  <sheetViews>
    <sheetView tabSelected="1" topLeftCell="A40" zoomScaleNormal="100" workbookViewId="0">
      <selection activeCell="X73" sqref="X73"/>
    </sheetView>
  </sheetViews>
  <sheetFormatPr defaultRowHeight="12.75" x14ac:dyDescent="0.2"/>
  <cols>
    <col min="7" max="7" width="10.28515625" customWidth="1"/>
    <col min="9" max="9" width="9.5703125" bestFit="1" customWidth="1"/>
    <col min="15" max="15" width="10.85546875" customWidth="1"/>
    <col min="16" max="16" width="10.5703125" bestFit="1" customWidth="1"/>
    <col min="18" max="18" width="10" bestFit="1" customWidth="1"/>
    <col min="20" max="20" width="9.5703125" bestFit="1" customWidth="1"/>
    <col min="22" max="22" width="10.140625" customWidth="1"/>
  </cols>
  <sheetData>
    <row r="1" spans="2:26" x14ac:dyDescent="0.2">
      <c r="B1" s="22" t="s">
        <v>99</v>
      </c>
      <c r="C1" s="22"/>
      <c r="J1" s="5"/>
      <c r="K1" s="5"/>
      <c r="L1" s="6"/>
      <c r="M1" s="5"/>
      <c r="N1" s="5"/>
      <c r="O1" s="5"/>
    </row>
    <row r="2" spans="2:26" x14ac:dyDescent="0.2">
      <c r="B2" s="85" t="s">
        <v>53</v>
      </c>
      <c r="C2" s="84"/>
      <c r="D2" s="84"/>
      <c r="E2" s="84"/>
      <c r="F2" s="21"/>
      <c r="G2" s="21"/>
      <c r="H2" s="21"/>
      <c r="J2" s="5"/>
      <c r="K2" s="5"/>
      <c r="L2" s="6"/>
      <c r="M2" s="5"/>
      <c r="N2" s="7"/>
      <c r="O2" s="6"/>
    </row>
    <row r="3" spans="2:26" x14ac:dyDescent="0.2">
      <c r="B3" s="23" t="s">
        <v>86</v>
      </c>
      <c r="D3" s="20"/>
      <c r="E3" s="20"/>
      <c r="F3" s="20"/>
      <c r="G3" s="20"/>
      <c r="H3" s="20"/>
      <c r="I3" s="20"/>
      <c r="J3" s="5"/>
      <c r="K3" s="5"/>
      <c r="L3" s="6"/>
      <c r="M3" s="5"/>
      <c r="N3" s="5"/>
      <c r="O3" s="44"/>
      <c r="P3" s="6"/>
      <c r="Q3" s="5"/>
      <c r="R3" s="5"/>
      <c r="S3" s="5"/>
      <c r="T3" s="5"/>
    </row>
    <row r="4" spans="2:26" x14ac:dyDescent="0.2">
      <c r="B4" t="s">
        <v>4</v>
      </c>
      <c r="L4" s="5"/>
      <c r="M4" s="5"/>
      <c r="N4" s="5"/>
      <c r="O4" s="39"/>
      <c r="P4" s="45"/>
      <c r="Q4" s="39"/>
      <c r="R4" s="39"/>
      <c r="S4" s="39"/>
      <c r="T4" s="5"/>
      <c r="V4" s="2"/>
      <c r="W4" s="2"/>
      <c r="X4" s="2"/>
      <c r="Z4" s="2"/>
    </row>
    <row r="5" spans="2:26" x14ac:dyDescent="0.2">
      <c r="B5" s="23" t="s">
        <v>54</v>
      </c>
      <c r="I5" t="s">
        <v>34</v>
      </c>
      <c r="J5" s="71">
        <v>1.3955</v>
      </c>
      <c r="K5" s="29" t="s">
        <v>35</v>
      </c>
      <c r="N5" s="61"/>
      <c r="O5" s="54"/>
      <c r="P5" s="62"/>
      <c r="Q5" s="54"/>
      <c r="R5" s="54"/>
      <c r="S5" s="54"/>
      <c r="T5" s="5"/>
      <c r="U5" s="2"/>
    </row>
    <row r="6" spans="2:26" x14ac:dyDescent="0.2">
      <c r="I6" s="24" t="s">
        <v>25</v>
      </c>
      <c r="J6" s="54">
        <f>1/J5^2</f>
        <v>0.51349984678448324</v>
      </c>
      <c r="K6" s="8"/>
      <c r="N6" s="7"/>
      <c r="O6" s="54"/>
      <c r="P6" s="54"/>
      <c r="Q6" s="54"/>
      <c r="R6" s="54"/>
      <c r="S6" s="54"/>
      <c r="T6" s="54"/>
      <c r="U6" s="2"/>
    </row>
    <row r="7" spans="2:26" x14ac:dyDescent="0.2">
      <c r="I7" s="24" t="s">
        <v>16</v>
      </c>
      <c r="J7" s="72">
        <v>108.38</v>
      </c>
      <c r="K7" s="8" t="s">
        <v>3</v>
      </c>
      <c r="N7" s="47"/>
      <c r="O7" s="54"/>
      <c r="P7" s="54"/>
      <c r="Q7" s="54"/>
      <c r="R7" s="54"/>
      <c r="S7" s="54"/>
      <c r="U7" s="2"/>
    </row>
    <row r="8" spans="2:26" x14ac:dyDescent="0.2">
      <c r="B8" s="16"/>
      <c r="C8" s="5"/>
      <c r="I8" s="9" t="s">
        <v>30</v>
      </c>
      <c r="J8" s="72">
        <v>126</v>
      </c>
      <c r="N8" s="5"/>
      <c r="O8" s="54"/>
      <c r="P8" s="54"/>
      <c r="Q8" s="54"/>
      <c r="R8" s="54"/>
      <c r="S8" s="54"/>
    </row>
    <row r="9" spans="2:26" x14ac:dyDescent="0.2">
      <c r="B9" s="16"/>
      <c r="C9" s="16"/>
      <c r="D9" s="16"/>
      <c r="E9" s="16"/>
      <c r="F9" s="16"/>
      <c r="G9" s="16"/>
      <c r="H9" s="16"/>
      <c r="I9" s="9" t="s">
        <v>5</v>
      </c>
      <c r="J9" s="5">
        <f>(J5-1)*931.494065</f>
        <v>368.40590270749993</v>
      </c>
      <c r="K9" s="8" t="s">
        <v>6</v>
      </c>
      <c r="L9" s="5"/>
      <c r="O9" s="5"/>
      <c r="P9" s="5"/>
      <c r="Q9" s="5"/>
      <c r="S9" s="5"/>
    </row>
    <row r="10" spans="2:26" x14ac:dyDescent="0.2">
      <c r="B10" s="37"/>
      <c r="C10" s="53"/>
      <c r="D10" s="53"/>
      <c r="E10" s="53"/>
      <c r="F10" s="53"/>
      <c r="G10" s="16"/>
      <c r="H10" s="16"/>
      <c r="I10" s="9" t="s">
        <v>7</v>
      </c>
      <c r="J10" s="6">
        <f>1+J9/931.494065</f>
        <v>1.3955</v>
      </c>
      <c r="K10" s="8"/>
      <c r="N10" s="3"/>
    </row>
    <row r="11" spans="2:26" x14ac:dyDescent="0.2">
      <c r="B11" s="35"/>
      <c r="C11" s="35"/>
      <c r="D11" s="16"/>
      <c r="E11" s="16"/>
      <c r="F11" s="48"/>
      <c r="G11" s="16"/>
      <c r="H11" s="16"/>
      <c r="I11" s="24" t="s">
        <v>41</v>
      </c>
      <c r="J11">
        <f>SQRT(1-1/J10^2)</f>
        <v>0.69749562953148081</v>
      </c>
      <c r="Q11" s="23"/>
      <c r="V11" s="23"/>
    </row>
    <row r="12" spans="2:26" x14ac:dyDescent="0.2">
      <c r="B12" s="37"/>
      <c r="C12" s="35"/>
      <c r="D12" s="16"/>
      <c r="E12" s="16"/>
      <c r="F12" s="48"/>
      <c r="G12" s="16"/>
      <c r="H12" s="16"/>
      <c r="I12" s="9" t="s">
        <v>13</v>
      </c>
      <c r="J12" s="28">
        <v>299792458</v>
      </c>
      <c r="K12" s="8" t="s">
        <v>9</v>
      </c>
      <c r="M12" s="5"/>
      <c r="N12" s="49"/>
      <c r="Q12" s="23"/>
    </row>
    <row r="13" spans="2:26" x14ac:dyDescent="0.2">
      <c r="B13" s="37"/>
      <c r="C13" s="35"/>
      <c r="D13" s="16"/>
      <c r="E13" s="16"/>
      <c r="F13" s="48"/>
      <c r="G13" s="16"/>
      <c r="H13" s="16"/>
      <c r="I13" s="9" t="s">
        <v>8</v>
      </c>
      <c r="J13">
        <f>SQRT(1-1/J10^2)*J12</f>
        <v>209103929.22150001</v>
      </c>
      <c r="K13" s="8" t="s">
        <v>9</v>
      </c>
      <c r="N13" s="3"/>
      <c r="Q13" s="23"/>
    </row>
    <row r="14" spans="2:26" x14ac:dyDescent="0.2">
      <c r="C14" s="35"/>
      <c r="D14" s="16"/>
      <c r="E14" s="16"/>
      <c r="F14" s="48"/>
      <c r="G14" s="16"/>
      <c r="H14" s="16"/>
      <c r="I14" s="91" t="s">
        <v>61</v>
      </c>
      <c r="J14" s="71">
        <v>2.0563137285592932</v>
      </c>
      <c r="M14" s="23" t="s">
        <v>49</v>
      </c>
      <c r="N14" s="3"/>
    </row>
    <row r="15" spans="2:26" x14ac:dyDescent="0.2">
      <c r="I15" s="24" t="s">
        <v>24</v>
      </c>
      <c r="J15" s="28">
        <v>3.1071294865388026</v>
      </c>
      <c r="K15" s="8"/>
      <c r="M15" s="30">
        <f>M17/J8</f>
        <v>1.929359007395276</v>
      </c>
      <c r="N15" s="3"/>
      <c r="P15" s="50"/>
    </row>
    <row r="16" spans="2:26" x14ac:dyDescent="0.2">
      <c r="B16" s="37"/>
      <c r="C16" s="38"/>
      <c r="D16" s="16"/>
      <c r="E16" s="16"/>
      <c r="F16" s="37"/>
      <c r="G16" s="38"/>
      <c r="H16" s="16"/>
      <c r="I16" s="9" t="s">
        <v>10</v>
      </c>
      <c r="J16" s="49">
        <f>J10*J11*J14*J15</f>
        <v>6.2189928706200153</v>
      </c>
      <c r="K16" s="29" t="s">
        <v>40</v>
      </c>
      <c r="M16" s="3" t="s">
        <v>22</v>
      </c>
      <c r="N16" s="5"/>
      <c r="O16" s="16"/>
      <c r="U16" s="16"/>
      <c r="V16" s="16"/>
      <c r="W16" s="16"/>
      <c r="X16" s="16"/>
      <c r="Y16" s="16"/>
    </row>
    <row r="17" spans="1:25" x14ac:dyDescent="0.2">
      <c r="B17" s="35" t="s">
        <v>27</v>
      </c>
      <c r="C17" s="35"/>
      <c r="D17" s="16"/>
      <c r="E17" s="16"/>
      <c r="F17" s="35" t="s">
        <v>29</v>
      </c>
      <c r="H17" s="9"/>
      <c r="M17" s="27">
        <f>L73</f>
        <v>243.09923493180477</v>
      </c>
      <c r="O17" s="58"/>
      <c r="V17" s="16"/>
      <c r="W17" s="16"/>
      <c r="X17" s="16"/>
      <c r="Y17" s="16"/>
    </row>
    <row r="18" spans="1:25" x14ac:dyDescent="0.2">
      <c r="F18" s="23"/>
      <c r="J18" s="117" t="s">
        <v>95</v>
      </c>
      <c r="O18" s="10"/>
      <c r="P18" s="118" t="s">
        <v>96</v>
      </c>
      <c r="Q18" s="35"/>
      <c r="R18" s="16"/>
      <c r="U18" s="16"/>
      <c r="V18" s="16"/>
      <c r="W18" s="16"/>
      <c r="X18" s="53"/>
      <c r="Y18" s="53"/>
    </row>
    <row r="19" spans="1:25" x14ac:dyDescent="0.2">
      <c r="B19" s="4" t="s">
        <v>0</v>
      </c>
      <c r="C19" s="4" t="s">
        <v>26</v>
      </c>
      <c r="D19" s="4" t="s">
        <v>1</v>
      </c>
      <c r="E19" s="4" t="s">
        <v>19</v>
      </c>
      <c r="F19" s="4" t="s">
        <v>17</v>
      </c>
      <c r="G19" s="4" t="s">
        <v>18</v>
      </c>
      <c r="H19" s="4" t="s">
        <v>15</v>
      </c>
      <c r="I19" s="4" t="s">
        <v>2</v>
      </c>
      <c r="J19" s="11" t="s">
        <v>11</v>
      </c>
      <c r="K19" s="12" t="s">
        <v>12</v>
      </c>
      <c r="L19" s="12" t="s">
        <v>21</v>
      </c>
      <c r="M19" s="12" t="s">
        <v>23</v>
      </c>
      <c r="N19" s="12" t="s">
        <v>97</v>
      </c>
      <c r="O19" s="12"/>
      <c r="P19" s="12" t="s">
        <v>91</v>
      </c>
      <c r="Q19" s="12" t="s">
        <v>90</v>
      </c>
      <c r="R19" s="12" t="s">
        <v>92</v>
      </c>
      <c r="S19" s="12" t="s">
        <v>93</v>
      </c>
      <c r="T19" s="12" t="s">
        <v>94</v>
      </c>
      <c r="U19" s="134" t="s">
        <v>23</v>
      </c>
      <c r="V19" s="12" t="s">
        <v>97</v>
      </c>
      <c r="W19" s="16"/>
      <c r="X19" s="35"/>
      <c r="Y19" s="35"/>
    </row>
    <row r="20" spans="1:25" x14ac:dyDescent="0.2">
      <c r="A20" s="5"/>
      <c r="B20" s="14">
        <v>39</v>
      </c>
      <c r="C20" s="2" t="s">
        <v>73</v>
      </c>
      <c r="D20" s="14">
        <v>18</v>
      </c>
      <c r="E20" s="14">
        <v>18</v>
      </c>
      <c r="F20" s="92">
        <v>38.954419639380461</v>
      </c>
      <c r="G20" s="55">
        <f t="shared" ref="G20:G51" si="0">F20/E20</f>
        <v>2.1641344244100256</v>
      </c>
      <c r="H20" s="99">
        <v>1.74</v>
      </c>
      <c r="J20" s="41">
        <f>$J$10*$J$11*G20*$J$15</f>
        <v>6.5450793668040328</v>
      </c>
      <c r="K20" s="42">
        <f>$J$7*(1+$J$6*(J20-$J$16)/$J$16)</f>
        <v>111.29811377277487</v>
      </c>
      <c r="L20" s="43">
        <f>$J$13/K20*$J$8/1000000</f>
        <v>236.72544114897556</v>
      </c>
      <c r="M20" s="43">
        <f>L20-$M$17</f>
        <v>-6.3737937828292104</v>
      </c>
      <c r="N20" s="30">
        <f>IF(ABS(M20)&gt;$M$15,M20+$M$15*SIGN(M20)*INT(M20/$M$15),M20)</f>
        <v>1.3436422467518936</v>
      </c>
      <c r="O20" s="46"/>
      <c r="P20" s="8">
        <f>$J$16/G20/$J$15</f>
        <v>0.92486101473749294</v>
      </c>
      <c r="Q20" s="111">
        <f>SQRT(P20^2+1)</f>
        <v>1.3621188995756812</v>
      </c>
      <c r="R20" s="119">
        <f>SQRT(1-1/Q20^2)</f>
        <v>0.67898699227035142</v>
      </c>
      <c r="S20" s="53">
        <f>(1-(Q20/$J$5)^2)*(R20/$J$11-1)</f>
        <v>-1.2543194824377534E-3</v>
      </c>
      <c r="T20" s="16">
        <f>-(G20/$J$14-1)*$J$6</f>
        <v>-2.6924836434534798E-2</v>
      </c>
      <c r="U20" s="135">
        <f>(S20+T20)*$M$17</f>
        <v>-6.850331244440067</v>
      </c>
      <c r="V20" s="30">
        <f>IF(ABS(U20)&gt;$M$15,U20+$M$15*SIGN(U20)*INT(U20/$M$15),U20)</f>
        <v>0.86710478514103695</v>
      </c>
      <c r="W20" s="16"/>
      <c r="X20" s="47"/>
      <c r="Y20" s="47"/>
    </row>
    <row r="21" spans="1:25" x14ac:dyDescent="0.2">
      <c r="A21" s="5"/>
      <c r="B21" s="14">
        <v>41</v>
      </c>
      <c r="C21" s="2" t="s">
        <v>72</v>
      </c>
      <c r="D21" s="14">
        <v>19</v>
      </c>
      <c r="E21" s="14">
        <v>19</v>
      </c>
      <c r="F21" s="92">
        <v>40.951380898619711</v>
      </c>
      <c r="G21" s="55">
        <f t="shared" si="0"/>
        <v>2.1553358367694586</v>
      </c>
      <c r="H21" s="99">
        <v>3.31</v>
      </c>
      <c r="J21" s="41">
        <f>$J$10*$J$11*G21*$J$15</f>
        <v>6.518469441942738</v>
      </c>
      <c r="K21" s="42">
        <f>$J$7*(1+$J$6*(J21-$J$16)/$J$16)</f>
        <v>111.05998435270092</v>
      </c>
      <c r="L21" s="43">
        <f>$J$13/K21*$J$8/1000000</f>
        <v>237.23301633319792</v>
      </c>
      <c r="M21" s="43">
        <f>L21-$M$17</f>
        <v>-5.8662185986068494</v>
      </c>
      <c r="N21" s="30">
        <f>IF(ABS(M21)&gt;$M$15,M21+$M$15*SIGN(M21)*INT(M21/$M$15),M21)</f>
        <v>1.8512174309742546</v>
      </c>
      <c r="O21" s="46"/>
      <c r="P21" s="8">
        <f t="shared" ref="P21:P32" si="1">$J$16/G21/$J$15</f>
        <v>0.92863651484967424</v>
      </c>
      <c r="Q21" s="111">
        <f t="shared" ref="Q21:Q84" si="2">SQRT(P21^2+1)</f>
        <v>1.3646852299018075</v>
      </c>
      <c r="R21" s="119">
        <f t="shared" ref="R21:R84" si="3">SQRT(1-1/Q21^2)</f>
        <v>0.680476709575359</v>
      </c>
      <c r="S21" s="53">
        <f t="shared" ref="S21:S32" si="4">(1-(Q21/$J$5)^2)*(R21/$J$11-1)</f>
        <v>-1.0656828649882582E-3</v>
      </c>
      <c r="T21" s="16">
        <f t="shared" ref="T21:T32" si="5">-(G21/$J$14-1)*$J$6</f>
        <v>-2.4727665184544494E-2</v>
      </c>
      <c r="U21" s="135">
        <f t="shared" ref="U21:U32" si="6">(S21+T21)*$M$17</f>
        <v>-6.2703431771711715</v>
      </c>
      <c r="V21" s="30">
        <f t="shared" ref="V21:V84" si="7">IF(ABS(U21)&gt;$M$15,U21+$M$15*SIGN(U21)*INT(U21/$M$15),U21)</f>
        <v>1.4470928524099325</v>
      </c>
      <c r="W21" s="16"/>
      <c r="X21" s="53"/>
      <c r="Y21" s="53"/>
    </row>
    <row r="22" spans="1:25" x14ac:dyDescent="0.2">
      <c r="A22" s="5"/>
      <c r="B22" s="14">
        <v>28</v>
      </c>
      <c r="C22" s="2" t="s">
        <v>77</v>
      </c>
      <c r="D22" s="14">
        <v>13</v>
      </c>
      <c r="E22" s="14">
        <v>13</v>
      </c>
      <c r="F22" s="92">
        <v>27.97476859116021</v>
      </c>
      <c r="G22" s="55">
        <f t="shared" si="0"/>
        <v>2.151905276243093</v>
      </c>
      <c r="H22" s="99">
        <v>1.02</v>
      </c>
      <c r="J22" s="41">
        <f>$J$10*$J$11*G22*$J$15</f>
        <v>6.5080942588374615</v>
      </c>
      <c r="K22" s="42">
        <f>$J$7*(1+$J$6*(J22-$J$16)/$J$16)</f>
        <v>110.96713792983806</v>
      </c>
      <c r="L22" s="43">
        <f>$J$13/K22*$J$8/1000000</f>
        <v>237.43150966520969</v>
      </c>
      <c r="M22" s="43">
        <f>L22-$M$17</f>
        <v>-5.6677252665950846</v>
      </c>
      <c r="N22" s="30">
        <f>IF(ABS(M22)&gt;$M$15,M22+$M$15*SIGN(M22)*INT(M22/$M$15),M22)</f>
        <v>0.12035175559074318</v>
      </c>
      <c r="O22" s="46"/>
      <c r="P22" s="8">
        <f t="shared" si="1"/>
        <v>0.93011694421910585</v>
      </c>
      <c r="Q22" s="111">
        <f t="shared" si="2"/>
        <v>1.3656930584591427</v>
      </c>
      <c r="R22" s="119">
        <f t="shared" si="3"/>
        <v>0.68105855738076304</v>
      </c>
      <c r="S22" s="53">
        <f t="shared" si="4"/>
        <v>-9.9594986687237693E-4</v>
      </c>
      <c r="T22" s="16">
        <f t="shared" si="5"/>
        <v>-2.3870990310371563E-2</v>
      </c>
      <c r="U22" s="135">
        <f t="shared" si="6"/>
        <v>-6.0451341321829597</v>
      </c>
      <c r="V22" s="30">
        <f t="shared" si="7"/>
        <v>1.6723018973981443</v>
      </c>
      <c r="W22" s="16"/>
      <c r="X22" s="53"/>
      <c r="Y22" s="53"/>
    </row>
    <row r="23" spans="1:25" x14ac:dyDescent="0.2">
      <c r="A23" s="5"/>
      <c r="B23" s="14">
        <v>43</v>
      </c>
      <c r="C23" s="2" t="s">
        <v>44</v>
      </c>
      <c r="D23" s="14">
        <v>20</v>
      </c>
      <c r="E23" s="14">
        <v>20</v>
      </c>
      <c r="F23" s="92">
        <v>42.947771041057344</v>
      </c>
      <c r="G23" s="55">
        <f t="shared" si="0"/>
        <v>2.1473885520528673</v>
      </c>
      <c r="H23" s="99">
        <v>6.06</v>
      </c>
      <c r="J23" s="41">
        <f>$J$10*$J$11*G23*$J$15</f>
        <v>6.4944341469841733</v>
      </c>
      <c r="K23" s="42">
        <f>$J$7*(1+$J$6*(J23-$J$16)/$J$16)</f>
        <v>110.84489502495484</v>
      </c>
      <c r="L23" s="43">
        <f>$J$13/K23*$J$8/1000000</f>
        <v>237.69335589137776</v>
      </c>
      <c r="M23" s="43">
        <f>L23-$M$17</f>
        <v>-5.4058790404270098</v>
      </c>
      <c r="N23" s="30">
        <f>IF(ABS(M23)&gt;$M$15,M23+$M$15*SIGN(M23)*INT(M23/$M$15),M23)</f>
        <v>0.38219798175881792</v>
      </c>
      <c r="O23" s="46"/>
      <c r="P23" s="8">
        <f t="shared" si="1"/>
        <v>0.93207331196525822</v>
      </c>
      <c r="Q23" s="111">
        <f t="shared" si="2"/>
        <v>1.367026210018625</v>
      </c>
      <c r="R23" s="119">
        <f t="shared" si="3"/>
        <v>0.68182548742248283</v>
      </c>
      <c r="S23" s="53">
        <f t="shared" si="4"/>
        <v>-9.0745155097294618E-4</v>
      </c>
      <c r="T23" s="16">
        <f t="shared" si="5"/>
        <v>-2.2743080134294619E-2</v>
      </c>
      <c r="U23" s="135">
        <f t="shared" si="6"/>
        <v>-5.7494261584189532</v>
      </c>
      <c r="V23" s="30">
        <f t="shared" si="7"/>
        <v>3.8650863766874544E-2</v>
      </c>
      <c r="W23" s="16"/>
      <c r="X23" s="53"/>
      <c r="Y23" s="53"/>
    </row>
    <row r="24" spans="1:25" x14ac:dyDescent="0.2">
      <c r="A24" s="5"/>
      <c r="B24" s="14">
        <v>30</v>
      </c>
      <c r="C24" s="2" t="s">
        <v>76</v>
      </c>
      <c r="D24" s="14">
        <v>14</v>
      </c>
      <c r="E24" s="14">
        <v>14</v>
      </c>
      <c r="F24" s="92">
        <v>29.966078434407468</v>
      </c>
      <c r="G24" s="55">
        <f t="shared" si="0"/>
        <v>2.1404341738862476</v>
      </c>
      <c r="H24" s="99">
        <v>2.35</v>
      </c>
      <c r="J24" s="41">
        <f>$J$10*$J$11*G24*$J$15</f>
        <v>6.4734017395080512</v>
      </c>
      <c r="K24" s="42">
        <f>$J$7*(1+$J$6*(J24-$J$16)/$J$16)</f>
        <v>110.65667822159465</v>
      </c>
      <c r="L24" s="43">
        <f>$J$13/K24*$J$8/1000000</f>
        <v>238.09765036636864</v>
      </c>
      <c r="M24" s="43">
        <f>L24-$M$17</f>
        <v>-5.0015845654361328</v>
      </c>
      <c r="N24" s="30">
        <f>IF(ABS(M24)&gt;$M$15,M24+$M$15*SIGN(M24)*INT(M24/$M$15),M24)</f>
        <v>0.78649245674969492</v>
      </c>
      <c r="O24" s="46"/>
      <c r="P24" s="8">
        <f t="shared" si="1"/>
        <v>0.9351016649833056</v>
      </c>
      <c r="Q24" s="111">
        <f t="shared" si="2"/>
        <v>1.3690928105335118</v>
      </c>
      <c r="R24" s="119">
        <f t="shared" si="3"/>
        <v>0.68300823566439794</v>
      </c>
      <c r="S24" s="53">
        <f t="shared" si="4"/>
        <v>-7.7865029195236884E-4</v>
      </c>
      <c r="T24" s="16">
        <f t="shared" si="5"/>
        <v>-2.1006442347247183E-2</v>
      </c>
      <c r="U24" s="135">
        <f t="shared" si="6"/>
        <v>-5.2959393535079027</v>
      </c>
      <c r="V24" s="30">
        <f t="shared" si="7"/>
        <v>0.49213766867792508</v>
      </c>
      <c r="W24" s="16"/>
      <c r="X24" s="53"/>
      <c r="Y24" s="53"/>
    </row>
    <row r="25" spans="1:25" x14ac:dyDescent="0.2">
      <c r="A25" s="5"/>
      <c r="B25" s="14">
        <v>45</v>
      </c>
      <c r="C25" s="2" t="s">
        <v>71</v>
      </c>
      <c r="D25" s="14">
        <v>21</v>
      </c>
      <c r="E25" s="14">
        <v>21</v>
      </c>
      <c r="F25" s="92">
        <v>44.944365066693386</v>
      </c>
      <c r="G25" s="55">
        <f t="shared" si="0"/>
        <v>2.1402078603187329</v>
      </c>
      <c r="H25" s="99">
        <v>11.4</v>
      </c>
      <c r="J25" s="41">
        <f>$J$10*$J$11*G25*$J$15</f>
        <v>6.4727172902222483</v>
      </c>
      <c r="K25" s="42">
        <f>$J$7*(1+$J$6*(J25-$J$16)/$J$16)</f>
        <v>110.65055315689236</v>
      </c>
      <c r="L25" s="43">
        <f>$J$13/K25*$J$8/1000000</f>
        <v>238.11083026897509</v>
      </c>
      <c r="M25" s="43">
        <f>L25-$M$17</f>
        <v>-4.9884046628296801</v>
      </c>
      <c r="N25" s="30">
        <f>IF(ABS(M25)&gt;$M$15,M25+$M$15*SIGN(M25)*INT(M25/$M$15),M25)</f>
        <v>0.79967235935614767</v>
      </c>
      <c r="O25" s="46"/>
      <c r="P25" s="8">
        <f t="shared" si="1"/>
        <v>0.93520054612364489</v>
      </c>
      <c r="Q25" s="111">
        <f t="shared" si="2"/>
        <v>1.3691603490716358</v>
      </c>
      <c r="R25" s="119">
        <f t="shared" si="3"/>
        <v>0.68304676421411192</v>
      </c>
      <c r="S25" s="53">
        <f t="shared" si="4"/>
        <v>-7.7461226557705844E-4</v>
      </c>
      <c r="T25" s="16">
        <f t="shared" si="5"/>
        <v>-2.094992763325678E-2</v>
      </c>
      <c r="U25" s="135">
        <f t="shared" si="6"/>
        <v>-5.2812190286519733</v>
      </c>
      <c r="V25" s="30">
        <f t="shared" si="7"/>
        <v>0.50685799353385441</v>
      </c>
      <c r="W25" s="16"/>
      <c r="X25" s="53"/>
      <c r="Y25" s="53"/>
    </row>
    <row r="26" spans="1:25" x14ac:dyDescent="0.2">
      <c r="B26" s="14">
        <v>47</v>
      </c>
      <c r="C26" s="2" t="s">
        <v>70</v>
      </c>
      <c r="D26" s="14">
        <v>22</v>
      </c>
      <c r="E26" s="14">
        <v>22</v>
      </c>
      <c r="F26" s="92">
        <v>46.939665975527816</v>
      </c>
      <c r="G26" s="55">
        <f t="shared" si="0"/>
        <v>2.1336211807058096</v>
      </c>
      <c r="H26" s="99">
        <v>8.6300000000000008</v>
      </c>
      <c r="J26" s="41">
        <f>$J$10*$J$11*G26*$J$15</f>
        <v>6.4527969283703994</v>
      </c>
      <c r="K26" s="42">
        <f>$J$7*(1+$J$6*(J26-$J$16)/$J$16)</f>
        <v>110.47228793291407</v>
      </c>
      <c r="L26" s="43">
        <f>$J$13/K26*$J$8/1000000</f>
        <v>238.49506129454531</v>
      </c>
      <c r="M26" s="43">
        <f>L26-$M$17</f>
        <v>-4.6041736372594642</v>
      </c>
      <c r="N26" s="30">
        <f>IF(ABS(M26)&gt;$M$15,M26+$M$15*SIGN(M26)*INT(M26/$M$15),M26)</f>
        <v>1.1839033849263636</v>
      </c>
      <c r="O26" s="46"/>
      <c r="P26" s="8">
        <f t="shared" si="1"/>
        <v>0.93808759394021635</v>
      </c>
      <c r="Q26" s="111">
        <f t="shared" si="2"/>
        <v>1.3711339591391296</v>
      </c>
      <c r="R26" s="119">
        <f t="shared" si="3"/>
        <v>0.68416917813719491</v>
      </c>
      <c r="S26" s="53">
        <f t="shared" si="4"/>
        <v>-6.6137841781399684E-4</v>
      </c>
      <c r="T26" s="16">
        <f t="shared" si="5"/>
        <v>-1.930511102522665E-2</v>
      </c>
      <c r="U26" s="135">
        <f t="shared" si="6"/>
        <v>-4.8538383078771377</v>
      </c>
      <c r="V26" s="30">
        <f t="shared" si="7"/>
        <v>0.9342387143086901</v>
      </c>
      <c r="W26" s="59"/>
      <c r="X26" s="35"/>
      <c r="Y26" s="53"/>
    </row>
    <row r="27" spans="1:25" x14ac:dyDescent="0.2">
      <c r="A27" s="5"/>
      <c r="B27" s="14">
        <v>32</v>
      </c>
      <c r="C27" s="2" t="s">
        <v>75</v>
      </c>
      <c r="D27" s="14">
        <v>15</v>
      </c>
      <c r="E27" s="14">
        <v>15</v>
      </c>
      <c r="F27" s="92">
        <v>31.965665160853124</v>
      </c>
      <c r="G27" s="55">
        <f t="shared" si="0"/>
        <v>2.1310443440568752</v>
      </c>
      <c r="H27" s="99">
        <v>8.18</v>
      </c>
      <c r="J27" s="41">
        <f>$J$10*$J$11*G27*$J$15</f>
        <v>6.4450036969554123</v>
      </c>
      <c r="K27" s="42">
        <f>$J$7*(1+$J$6*(J27-$J$16)/$J$16)</f>
        <v>110.40254712428622</v>
      </c>
      <c r="L27" s="43">
        <f>$J$13/K27*$J$8/1000000</f>
        <v>238.64571758701027</v>
      </c>
      <c r="M27" s="43">
        <f>L27-$M$17</f>
        <v>-4.4535173447945056</v>
      </c>
      <c r="N27" s="30">
        <f>IF(ABS(M27)&gt;$M$15,M27+$M$15*SIGN(M27)*INT(M27/$M$15),M27)</f>
        <v>1.3345596773913222</v>
      </c>
      <c r="O27" s="46"/>
      <c r="P27" s="8">
        <f t="shared" si="1"/>
        <v>0.93922191969871938</v>
      </c>
      <c r="Q27" s="111">
        <f t="shared" si="2"/>
        <v>1.371910279297647</v>
      </c>
      <c r="R27" s="119">
        <f t="shared" si="3"/>
        <v>0.68460885079128975</v>
      </c>
      <c r="S27" s="53">
        <f t="shared" si="4"/>
        <v>-6.1935485789866424E-4</v>
      </c>
      <c r="T27" s="16">
        <f t="shared" si="5"/>
        <v>-1.8661626907974047E-2</v>
      </c>
      <c r="U27" s="135">
        <f t="shared" si="6"/>
        <v>-4.687191916017734</v>
      </c>
      <c r="V27" s="30">
        <f t="shared" si="7"/>
        <v>1.1008851061680938</v>
      </c>
      <c r="W27" s="16"/>
      <c r="X27" s="53"/>
      <c r="Y27" s="53"/>
    </row>
    <row r="28" spans="1:25" x14ac:dyDescent="0.2">
      <c r="B28" s="14">
        <v>49</v>
      </c>
      <c r="C28" s="2" t="s">
        <v>69</v>
      </c>
      <c r="D28" s="14">
        <v>23</v>
      </c>
      <c r="E28" s="14">
        <v>23</v>
      </c>
      <c r="F28" s="92">
        <v>48.935867767560644</v>
      </c>
      <c r="G28" s="55">
        <f t="shared" si="0"/>
        <v>2.1276464246765499</v>
      </c>
      <c r="H28" s="99">
        <v>14.2</v>
      </c>
      <c r="J28" s="41">
        <f>$J$10*$J$11*G28*$J$15</f>
        <v>6.434727231789763</v>
      </c>
      <c r="K28" s="42">
        <f>$J$7*(1+$J$6*(J28-$J$16)/$J$16)</f>
        <v>110.31058411788683</v>
      </c>
      <c r="L28" s="43">
        <f>$J$13/K28*$J$8/1000000</f>
        <v>238.84467018824196</v>
      </c>
      <c r="M28" s="43">
        <f>L28-$M$17</f>
        <v>-4.2545647435628098</v>
      </c>
      <c r="N28" s="30">
        <f>IF(ABS(M28)&gt;$M$15,M28+$M$15*SIGN(M28)*INT(M28/$M$15),M28)</f>
        <v>1.533512278623018</v>
      </c>
      <c r="O28" s="46"/>
      <c r="P28" s="8">
        <f t="shared" si="1"/>
        <v>0.94072188713990534</v>
      </c>
      <c r="Q28" s="111">
        <f t="shared" si="2"/>
        <v>1.3729376056267324</v>
      </c>
      <c r="R28" s="119">
        <f t="shared" si="3"/>
        <v>0.68518910348476858</v>
      </c>
      <c r="S28" s="53">
        <f t="shared" si="4"/>
        <v>-5.6591893985518684E-4</v>
      </c>
      <c r="T28" s="16">
        <f t="shared" si="5"/>
        <v>-1.7813103136066127E-2</v>
      </c>
      <c r="U28" s="135">
        <f t="shared" si="6"/>
        <v>-4.4679262054512217</v>
      </c>
      <c r="V28" s="30">
        <f t="shared" si="7"/>
        <v>1.3201508167346061</v>
      </c>
      <c r="W28" s="16"/>
      <c r="X28" s="53"/>
      <c r="Y28" s="53"/>
    </row>
    <row r="29" spans="1:25" x14ac:dyDescent="0.2">
      <c r="A29" s="5"/>
      <c r="B29" s="14">
        <v>17</v>
      </c>
      <c r="C29" s="2" t="s">
        <v>82</v>
      </c>
      <c r="D29" s="14">
        <v>8</v>
      </c>
      <c r="E29" s="14">
        <v>8</v>
      </c>
      <c r="F29" s="92">
        <v>16.994738622899881</v>
      </c>
      <c r="G29" s="55">
        <f t="shared" si="0"/>
        <v>2.1243423278624851</v>
      </c>
      <c r="H29" s="99">
        <v>1.43</v>
      </c>
      <c r="J29" s="41">
        <f>$J$10*$J$11*G29*$J$15</f>
        <v>6.4247345180101867</v>
      </c>
      <c r="K29" s="42">
        <f>$J$7*(1+$J$6*(J29-$J$16)/$J$16)</f>
        <v>110.22116037281056</v>
      </c>
      <c r="L29" s="43">
        <f>$J$13/K29*$J$8/1000000</f>
        <v>239.0384477244927</v>
      </c>
      <c r="M29" s="43">
        <f>L29-$M$17</f>
        <v>-4.0607872073120745</v>
      </c>
      <c r="N29" s="30">
        <f>IF(ABS(M29)&gt;$M$15,M29+$M$15*SIGN(M29)*INT(M29/$M$15),M29)</f>
        <v>1.7272898148737532</v>
      </c>
      <c r="O29" s="46"/>
      <c r="P29" s="8">
        <f t="shared" si="1"/>
        <v>0.94218503935857212</v>
      </c>
      <c r="Q29" s="111">
        <f t="shared" si="2"/>
        <v>1.3739405548971593</v>
      </c>
      <c r="R29" s="119">
        <f t="shared" si="3"/>
        <v>0.6857538603110056</v>
      </c>
      <c r="S29" s="53">
        <f t="shared" si="4"/>
        <v>-5.1613343597604498E-4</v>
      </c>
      <c r="T29" s="16">
        <f t="shared" si="5"/>
        <v>-1.6988008606851495E-2</v>
      </c>
      <c r="U29" s="135">
        <f t="shared" si="6"/>
        <v>-4.2552435387490135</v>
      </c>
      <c r="V29" s="30">
        <f t="shared" si="7"/>
        <v>1.5328334834368142</v>
      </c>
      <c r="W29" s="16"/>
      <c r="X29" s="53"/>
      <c r="Y29" s="53"/>
    </row>
    <row r="30" spans="1:25" x14ac:dyDescent="0.2">
      <c r="A30" s="5"/>
      <c r="B30" s="14">
        <v>34</v>
      </c>
      <c r="C30" s="2" t="s">
        <v>45</v>
      </c>
      <c r="D30" s="14">
        <v>16</v>
      </c>
      <c r="E30" s="14">
        <v>16</v>
      </c>
      <c r="F30" s="92">
        <v>33.959073770497177</v>
      </c>
      <c r="G30" s="55">
        <f t="shared" si="0"/>
        <v>2.1224421106560736</v>
      </c>
      <c r="H30" s="99">
        <v>15.5</v>
      </c>
      <c r="J30" s="41">
        <f>$J$10*$J$11*G30*$J$15</f>
        <v>6.4189876141719378</v>
      </c>
      <c r="K30" s="42">
        <f>$J$7*(1+$J$6*(J30-$J$16)/$J$16)</f>
        <v>110.16973193453587</v>
      </c>
      <c r="L30" s="43">
        <f>$J$13/K30*$J$8/1000000</f>
        <v>239.15003349163769</v>
      </c>
      <c r="M30" s="43">
        <f>L30-$M$17</f>
        <v>-3.9492014401670872</v>
      </c>
      <c r="N30" s="30">
        <f>IF(ABS(M30)&gt;$M$15,M30+$M$15*SIGN(M30)*INT(M30/$M$15),M30)</f>
        <v>1.8388755820187406</v>
      </c>
      <c r="O30" s="46"/>
      <c r="P30" s="8">
        <f t="shared" si="1"/>
        <v>0.9430285753091755</v>
      </c>
      <c r="Q30" s="111">
        <f t="shared" si="2"/>
        <v>1.3745191500483553</v>
      </c>
      <c r="R30" s="119">
        <f t="shared" si="3"/>
        <v>0.68607889186265603</v>
      </c>
      <c r="S30" s="53">
        <f t="shared" si="4"/>
        <v>-4.8847990112809152E-4</v>
      </c>
      <c r="T30" s="16">
        <f t="shared" si="5"/>
        <v>-1.6513488969697974E-2</v>
      </c>
      <c r="U30" s="135">
        <f t="shared" si="6"/>
        <v>-4.1331656248321771</v>
      </c>
      <c r="V30" s="30">
        <f t="shared" si="7"/>
        <v>1.6549113973536507</v>
      </c>
      <c r="W30" s="16"/>
      <c r="X30" s="53"/>
      <c r="Y30" s="53"/>
    </row>
    <row r="31" spans="1:25" x14ac:dyDescent="0.2">
      <c r="B31" s="14">
        <v>51</v>
      </c>
      <c r="C31" s="2" t="s">
        <v>46</v>
      </c>
      <c r="D31" s="14">
        <v>24</v>
      </c>
      <c r="E31" s="14">
        <v>24</v>
      </c>
      <c r="F31" s="92">
        <v>50.931567442791867</v>
      </c>
      <c r="G31" s="55">
        <f t="shared" si="0"/>
        <v>2.1221486434496613</v>
      </c>
      <c r="H31" s="99">
        <v>22.5</v>
      </c>
      <c r="I31">
        <f>46.2*60</f>
        <v>2772</v>
      </c>
      <c r="J31" s="41">
        <f>$J$10*$J$11*G31*$J$15</f>
        <v>6.4181000694169272</v>
      </c>
      <c r="K31" s="42">
        <f>$J$7*(1+$J$6*(J31-$J$16)/$J$16)</f>
        <v>110.16178938983113</v>
      </c>
      <c r="L31" s="43">
        <f>$J$13/K31*$J$8/1000000</f>
        <v>239.16727594787108</v>
      </c>
      <c r="M31" s="43">
        <f>L31-$M$17</f>
        <v>-3.931958983933697</v>
      </c>
      <c r="N31" s="30">
        <f>IF(ABS(M31)&gt;$M$15,M31+$M$15*SIGN(M31)*INT(M31/$M$15),M31)</f>
        <v>1.8561180382521307</v>
      </c>
      <c r="O31" s="46"/>
      <c r="P31" s="8">
        <f t="shared" si="1"/>
        <v>0.94315898462919046</v>
      </c>
      <c r="Q31" s="111">
        <f t="shared" si="2"/>
        <v>1.3746086244043305</v>
      </c>
      <c r="R31" s="119">
        <f t="shared" si="3"/>
        <v>0.68612910459360521</v>
      </c>
      <c r="S31" s="53">
        <f t="shared" si="4"/>
        <v>-4.8427313054503671E-4</v>
      </c>
      <c r="T31" s="16">
        <f t="shared" si="5"/>
        <v>-1.6440204741014354E-2</v>
      </c>
      <c r="U31" s="135">
        <f t="shared" si="6"/>
        <v>-4.1143276221963472</v>
      </c>
      <c r="V31" s="30">
        <f t="shared" si="7"/>
        <v>1.6737493999894806</v>
      </c>
      <c r="Y31" s="53"/>
    </row>
    <row r="32" spans="1:25" x14ac:dyDescent="0.2">
      <c r="B32" s="14">
        <v>53</v>
      </c>
      <c r="C32" s="2" t="s">
        <v>60</v>
      </c>
      <c r="D32" s="14">
        <v>25</v>
      </c>
      <c r="E32" s="14">
        <v>25</v>
      </c>
      <c r="F32" s="92">
        <v>52.927539001221497</v>
      </c>
      <c r="G32" s="55">
        <f t="shared" si="0"/>
        <v>2.1171015600488601</v>
      </c>
      <c r="H32" s="99">
        <v>35.299999999999997</v>
      </c>
      <c r="J32" s="41">
        <f>$J$10*$J$11*G32*$J$15</f>
        <v>6.4028359707285434</v>
      </c>
      <c r="K32" s="42">
        <f>$J$7*(1+$J$6*(J32-$J$16)/$J$16)</f>
        <v>110.02519257538829</v>
      </c>
      <c r="L32" s="43">
        <f>$J$13/K32*$J$8/1000000</f>
        <v>239.46420329013469</v>
      </c>
      <c r="M32" s="43">
        <f>L32-$M$17</f>
        <v>-3.6350316416700821</v>
      </c>
      <c r="N32" s="30">
        <f>IF(ABS(M32)&gt;$M$15,M32+$M$15*SIGN(M32)*INT(M32/$M$15),M32)</f>
        <v>0.22368637312046991</v>
      </c>
      <c r="O32" s="46"/>
      <c r="P32" s="8">
        <f t="shared" si="1"/>
        <v>0.94540743701591901</v>
      </c>
      <c r="Q32" s="111">
        <f t="shared" si="2"/>
        <v>1.3761523251315637</v>
      </c>
      <c r="R32" s="119">
        <f t="shared" si="3"/>
        <v>0.68699330717298013</v>
      </c>
      <c r="S32" s="53">
        <f t="shared" si="4"/>
        <v>-4.1462139099856626E-4</v>
      </c>
      <c r="T32" s="16">
        <f t="shared" si="5"/>
        <v>-1.5179853989557939E-2</v>
      </c>
      <c r="U32" s="135">
        <f t="shared" si="6"/>
        <v>-3.7910050341761514</v>
      </c>
      <c r="V32" s="30">
        <f t="shared" si="7"/>
        <v>6.7712980614400564E-2</v>
      </c>
      <c r="Y32" s="53"/>
    </row>
    <row r="33" spans="1:25" x14ac:dyDescent="0.2">
      <c r="A33" s="5"/>
      <c r="B33" s="14">
        <v>36</v>
      </c>
      <c r="C33" s="2" t="s">
        <v>74</v>
      </c>
      <c r="D33" s="14">
        <v>17</v>
      </c>
      <c r="E33" s="14">
        <v>17</v>
      </c>
      <c r="F33" s="92">
        <v>35.958963263339626</v>
      </c>
      <c r="G33" s="55">
        <f t="shared" si="0"/>
        <v>2.1152331331376253</v>
      </c>
      <c r="H33" s="99">
        <v>20.3</v>
      </c>
      <c r="J33" s="41">
        <f>$J$10*$J$11*G33*$J$15</f>
        <v>6.3971852115672041</v>
      </c>
      <c r="K33" s="42">
        <f>$J$7*(1+$J$6*(J33-$J$16)/$J$16)</f>
        <v>109.97462452571955</v>
      </c>
      <c r="L33" s="43">
        <f>$J$13/K33*$J$8/1000000</f>
        <v>239.57431267016744</v>
      </c>
      <c r="M33" s="43">
        <f>L33-$M$17</f>
        <v>-3.5249222616373288</v>
      </c>
      <c r="N33" s="30">
        <f>IF(ABS(M33)&gt;$M$15,M33+$M$15*SIGN(M33)*INT(M33/$M$15),M33)</f>
        <v>0.33379575315322318</v>
      </c>
      <c r="O33" s="46"/>
      <c r="P33" s="8">
        <f t="shared" ref="P33:P96" si="8">$J$16/G33/$J$15</f>
        <v>0.94624253394671543</v>
      </c>
      <c r="Q33" s="111">
        <f t="shared" si="2"/>
        <v>1.3767261648744462</v>
      </c>
      <c r="R33" s="119">
        <f t="shared" si="3"/>
        <v>0.68731353996821165</v>
      </c>
      <c r="S33" s="53">
        <f t="shared" ref="S33:S96" si="9">(1-(Q33/$J$5)^2)*(R33/$J$11-1)</f>
        <v>-3.9013723185163678E-4</v>
      </c>
      <c r="T33" s="16">
        <f t="shared" ref="T33:T96" si="10">-(G33/$J$14-1)*$J$6</f>
        <v>-1.471327298135776E-2</v>
      </c>
      <c r="U33" s="135">
        <f t="shared" ref="U33:U96" si="11">(S33+T33)*$M$17</f>
        <v>-3.671627467692411</v>
      </c>
      <c r="V33" s="30">
        <f t="shared" si="7"/>
        <v>0.18709054709814099</v>
      </c>
      <c r="Y33" s="53"/>
    </row>
    <row r="34" spans="1:25" x14ac:dyDescent="0.2">
      <c r="B34" s="14">
        <v>55</v>
      </c>
      <c r="C34" s="2" t="s">
        <v>59</v>
      </c>
      <c r="D34" s="14">
        <v>26</v>
      </c>
      <c r="E34" s="14">
        <v>26</v>
      </c>
      <c r="F34" s="92">
        <v>54.923990442849515</v>
      </c>
      <c r="G34" s="55">
        <f t="shared" si="0"/>
        <v>2.1124611708788277</v>
      </c>
      <c r="H34" s="99">
        <v>49</v>
      </c>
      <c r="J34" s="41">
        <f>$J$10*$J$11*G34*$J$15</f>
        <v>6.388801853869559</v>
      </c>
      <c r="K34" s="42">
        <f>$J$7*(1+$J$6*(J34-$J$16)/$J$16)</f>
        <v>109.89960273902834</v>
      </c>
      <c r="L34" s="43">
        <f>$J$13/K34*$J$8/1000000</f>
        <v>239.73785550866631</v>
      </c>
      <c r="M34" s="43">
        <f>L34-$M$17</f>
        <v>-3.3613794231384588</v>
      </c>
      <c r="N34" s="30">
        <f>IF(ABS(M34)&gt;$M$15,M34+$M$15*SIGN(M34)*INT(M34/$M$15),M34)</f>
        <v>0.49733859165209315</v>
      </c>
      <c r="O34" s="46"/>
      <c r="P34" s="8">
        <f t="shared" si="8"/>
        <v>0.94748418923862221</v>
      </c>
      <c r="Q34" s="111">
        <f t="shared" si="2"/>
        <v>1.3775798665983652</v>
      </c>
      <c r="R34" s="119">
        <f t="shared" si="3"/>
        <v>0.68778893493720195</v>
      </c>
      <c r="S34" s="53">
        <f t="shared" si="9"/>
        <v>-3.5511891832402199E-4</v>
      </c>
      <c r="T34" s="16">
        <f t="shared" si="10"/>
        <v>-1.4021062364166528E-2</v>
      </c>
      <c r="U34" s="135">
        <f t="shared" si="11"/>
        <v>-3.4948386710143846</v>
      </c>
      <c r="V34" s="30">
        <f t="shared" si="7"/>
        <v>0.36387934377616737</v>
      </c>
      <c r="Y34" s="53"/>
    </row>
    <row r="35" spans="1:25" x14ac:dyDescent="0.2">
      <c r="A35" s="5"/>
      <c r="B35" s="14">
        <v>19</v>
      </c>
      <c r="C35" s="2" t="s">
        <v>81</v>
      </c>
      <c r="D35" s="14">
        <v>9</v>
      </c>
      <c r="E35" s="14">
        <v>9</v>
      </c>
      <c r="F35" s="92">
        <v>18.993461050155155</v>
      </c>
      <c r="G35" s="55">
        <f t="shared" si="0"/>
        <v>2.1103845611283507</v>
      </c>
      <c r="H35" s="99">
        <v>2.73</v>
      </c>
      <c r="J35" s="41">
        <f>$J$10*$J$11*G35*$J$15</f>
        <v>6.382521478918056</v>
      </c>
      <c r="K35" s="42">
        <f>$J$7*(1+$J$6*(J35-$J$16)/$J$16)</f>
        <v>109.84340032384515</v>
      </c>
      <c r="L35" s="43">
        <f>$J$13/K35*$J$8/1000000</f>
        <v>239.86051965098801</v>
      </c>
      <c r="M35" s="43">
        <f>L35-$M$17</f>
        <v>-3.2387152808167627</v>
      </c>
      <c r="N35" s="30">
        <f>IF(ABS(M35)&gt;$M$15,M35+$M$15*SIGN(M35)*INT(M35/$M$15),M35)</f>
        <v>0.62000273397378924</v>
      </c>
      <c r="O35" s="46"/>
      <c r="P35" s="8">
        <f t="shared" si="8"/>
        <v>0.9484165097938595</v>
      </c>
      <c r="Q35" s="111">
        <f t="shared" si="2"/>
        <v>1.3782212725283143</v>
      </c>
      <c r="R35" s="119">
        <f t="shared" si="3"/>
        <v>0.68814531359976172</v>
      </c>
      <c r="S35" s="53">
        <f t="shared" si="9"/>
        <v>-3.2991319444591069E-4</v>
      </c>
      <c r="T35" s="16">
        <f t="shared" si="10"/>
        <v>-1.3502494222597842E-2</v>
      </c>
      <c r="U35" s="135">
        <f t="shared" si="11"/>
        <v>-3.3626476603483577</v>
      </c>
      <c r="V35" s="30">
        <f t="shared" si="7"/>
        <v>0.49607035444219427</v>
      </c>
      <c r="Y35" s="53"/>
    </row>
    <row r="36" spans="1:25" x14ac:dyDescent="0.2">
      <c r="A36" s="5"/>
      <c r="B36" s="14">
        <v>38</v>
      </c>
      <c r="C36" s="2" t="s">
        <v>73</v>
      </c>
      <c r="D36" s="14">
        <v>18</v>
      </c>
      <c r="E36" s="14">
        <v>18</v>
      </c>
      <c r="F36" s="92">
        <v>37.952838639380467</v>
      </c>
      <c r="G36" s="55">
        <f t="shared" si="0"/>
        <v>2.108491035521137</v>
      </c>
      <c r="H36" s="99">
        <v>37.5</v>
      </c>
      <c r="J36" s="41">
        <f>$J$10*$J$11*G36*$J$15</f>
        <v>6.3767948127542073</v>
      </c>
      <c r="K36" s="42">
        <f>$J$7*(1+$J$6*(J36-$J$16)/$J$16)</f>
        <v>109.79215299039109</v>
      </c>
      <c r="L36" s="43">
        <f>$J$13/K36*$J$8/1000000</f>
        <v>239.97247858155106</v>
      </c>
      <c r="M36" s="43">
        <f>L36-$M$17</f>
        <v>-3.1267563502537143</v>
      </c>
      <c r="N36" s="30">
        <f>IF(ABS(M36)&gt;$M$15,M36+$M$15*SIGN(M36)*INT(M36/$M$15),M36)</f>
        <v>0.73196166453683764</v>
      </c>
      <c r="O36" s="46"/>
      <c r="P36" s="8">
        <f t="shared" si="8"/>
        <v>0.94926823309613817</v>
      </c>
      <c r="Q36" s="111">
        <f t="shared" si="2"/>
        <v>1.3788075204195342</v>
      </c>
      <c r="R36" s="119">
        <f t="shared" si="3"/>
        <v>0.68847044931064882</v>
      </c>
      <c r="S36" s="53">
        <f t="shared" si="9"/>
        <v>-3.07701889690227E-4</v>
      </c>
      <c r="T36" s="16">
        <f t="shared" si="10"/>
        <v>-1.3029645602427404E-2</v>
      </c>
      <c r="U36" s="135">
        <f t="shared" si="11"/>
        <v>-3.2422989713534212</v>
      </c>
      <c r="V36" s="30">
        <f t="shared" si="7"/>
        <v>0.61641904343713083</v>
      </c>
      <c r="Y36" s="53"/>
    </row>
    <row r="37" spans="1:25" x14ac:dyDescent="0.2">
      <c r="B37" s="14">
        <v>57</v>
      </c>
      <c r="C37" s="2" t="s">
        <v>58</v>
      </c>
      <c r="D37" s="14">
        <v>27</v>
      </c>
      <c r="E37" s="14">
        <v>27</v>
      </c>
      <c r="F37" s="92">
        <v>56.921436767675928</v>
      </c>
      <c r="G37" s="55">
        <f t="shared" si="0"/>
        <v>2.1082013617657753</v>
      </c>
      <c r="H37" s="99">
        <v>70.8</v>
      </c>
      <c r="J37" s="41">
        <f>$J$10*$J$11*G37*$J$15</f>
        <v>6.3759187406868083</v>
      </c>
      <c r="K37" s="42">
        <f>$J$7*(1+$J$6*(J37-$J$16)/$J$16)</f>
        <v>109.78431311356167</v>
      </c>
      <c r="L37" s="43">
        <f>$J$13/K37*$J$8/1000000</f>
        <v>239.98961540757995</v>
      </c>
      <c r="M37" s="43">
        <f>L37-$M$17</f>
        <v>-3.1096195242248257</v>
      </c>
      <c r="N37" s="30">
        <f>IF(ABS(M37)&gt;$M$15,M37+$M$15*SIGN(M37)*INT(M37/$M$15),M37)</f>
        <v>0.7490984905657263</v>
      </c>
      <c r="O37" s="46"/>
      <c r="P37" s="8">
        <f t="shared" si="8"/>
        <v>0.94939866565296771</v>
      </c>
      <c r="Q37" s="111">
        <f t="shared" si="2"/>
        <v>1.3788973226254504</v>
      </c>
      <c r="R37" s="119">
        <f t="shared" si="3"/>
        <v>0.68852020384323609</v>
      </c>
      <c r="S37" s="53">
        <f t="shared" si="9"/>
        <v>-3.0436917603369871E-4</v>
      </c>
      <c r="T37" s="16">
        <f t="shared" si="10"/>
        <v>-1.2957308669142444E-2</v>
      </c>
      <c r="U37" s="135">
        <f t="shared" si="11"/>
        <v>-3.2239037380743856</v>
      </c>
      <c r="V37" s="30">
        <f t="shared" si="7"/>
        <v>0.63481427671616641</v>
      </c>
      <c r="Y37" s="53"/>
    </row>
    <row r="38" spans="1:25" x14ac:dyDescent="0.2">
      <c r="A38" s="5"/>
      <c r="B38" s="14">
        <v>59</v>
      </c>
      <c r="C38" s="2" t="s">
        <v>43</v>
      </c>
      <c r="D38" s="14">
        <v>28</v>
      </c>
      <c r="E38" s="14">
        <v>28</v>
      </c>
      <c r="F38" s="92">
        <v>58.918939975700745</v>
      </c>
      <c r="G38" s="55">
        <f t="shared" si="0"/>
        <v>2.1042478562750264</v>
      </c>
      <c r="H38" s="99">
        <v>100</v>
      </c>
      <c r="J38" s="41">
        <f>$J$10*$J$11*G38*$J$15</f>
        <v>6.3639619939514009</v>
      </c>
      <c r="K38" s="42">
        <f>$J$7*(1+$J$6*(J38-$J$16)/$J$16)</f>
        <v>109.67731344404304</v>
      </c>
      <c r="L38" s="43">
        <f>$J$13/K38*$J$8/1000000</f>
        <v>240.22374595591452</v>
      </c>
      <c r="M38" s="43">
        <f>L38-$M$17</f>
        <v>-2.8754889758902493</v>
      </c>
      <c r="N38" s="30">
        <f>IF(ABS(M38)&gt;$M$15,M38+$M$15*SIGN(M38)*INT(M38/$M$15),M38)</f>
        <v>0.98322903890030267</v>
      </c>
      <c r="O38" s="46"/>
      <c r="P38" s="8">
        <f t="shared" si="8"/>
        <v>0.95118241599700426</v>
      </c>
      <c r="Q38" s="111">
        <f t="shared" si="2"/>
        <v>1.3801260770313335</v>
      </c>
      <c r="R38" s="119">
        <f t="shared" si="3"/>
        <v>0.68919965489168089</v>
      </c>
      <c r="S38" s="53">
        <f t="shared" si="9"/>
        <v>-2.6062249806141493E-4</v>
      </c>
      <c r="T38" s="16">
        <f t="shared" si="10"/>
        <v>-1.1970044694990332E-2</v>
      </c>
      <c r="U38" s="135">
        <f t="shared" si="11"/>
        <v>-2.9732658373364038</v>
      </c>
      <c r="V38" s="30">
        <f t="shared" si="7"/>
        <v>0.88545217745414817</v>
      </c>
      <c r="Y38" s="53"/>
    </row>
    <row r="39" spans="1:25" x14ac:dyDescent="0.2">
      <c r="A39" s="5"/>
      <c r="B39" s="14">
        <v>40</v>
      </c>
      <c r="C39" s="2" t="s">
        <v>72</v>
      </c>
      <c r="D39" s="14">
        <v>19</v>
      </c>
      <c r="E39" s="14">
        <v>19</v>
      </c>
      <c r="F39" s="92">
        <v>39.95355389861971</v>
      </c>
      <c r="G39" s="55">
        <f t="shared" si="0"/>
        <v>2.1028186262431428</v>
      </c>
      <c r="H39" s="99">
        <v>59.3</v>
      </c>
      <c r="J39" s="41">
        <f>$J$10*$J$11*G39*$J$15</f>
        <v>6.3596395156956209</v>
      </c>
      <c r="K39" s="42">
        <f>$J$7*(1+$J$6*(J39-$J$16)/$J$16)</f>
        <v>109.63863204055556</v>
      </c>
      <c r="L39" s="43">
        <f>$J$13/K39*$J$8/1000000</f>
        <v>240.30849885251357</v>
      </c>
      <c r="M39" s="43">
        <f>L39-$M$17</f>
        <v>-2.7907360792912073</v>
      </c>
      <c r="N39" s="30">
        <f>IF(ABS(M39)&gt;$M$15,M39+$M$15*SIGN(M39)*INT(M39/$M$15),M39)</f>
        <v>1.0679819354993447</v>
      </c>
      <c r="O39" s="46"/>
      <c r="P39" s="8">
        <f t="shared" si="8"/>
        <v>0.95182890945001852</v>
      </c>
      <c r="Q39" s="111">
        <f t="shared" si="2"/>
        <v>1.380571719565779</v>
      </c>
      <c r="R39" s="119">
        <f t="shared" si="3"/>
        <v>0.68944546376003579</v>
      </c>
      <c r="S39" s="53">
        <f t="shared" si="9"/>
        <v>-2.4560891016080965E-4</v>
      </c>
      <c r="T39" s="16">
        <f t="shared" si="10"/>
        <v>-1.1613139329724688E-2</v>
      </c>
      <c r="U39" s="135">
        <f t="shared" si="11"/>
        <v>-2.882852624365051</v>
      </c>
      <c r="V39" s="30">
        <f t="shared" si="7"/>
        <v>0.97586539042550102</v>
      </c>
      <c r="Y39" s="53"/>
    </row>
    <row r="40" spans="1:25" x14ac:dyDescent="0.2">
      <c r="B40" s="14">
        <v>61</v>
      </c>
      <c r="C40" s="2" t="s">
        <v>48</v>
      </c>
      <c r="D40" s="14">
        <v>29</v>
      </c>
      <c r="E40" s="14">
        <v>29</v>
      </c>
      <c r="F40" s="92">
        <v>60.917499066923959</v>
      </c>
      <c r="G40" s="55">
        <f t="shared" si="0"/>
        <v>2.1006034161008262</v>
      </c>
      <c r="H40" s="99">
        <v>85.2</v>
      </c>
      <c r="J40" s="41">
        <f>$J$10*$J$11*G40*$J$15</f>
        <v>6.3529399659670656</v>
      </c>
      <c r="K40" s="42">
        <f>$J$7*(1+$J$6*(J40-$J$16)/$J$16)</f>
        <v>109.57867847436049</v>
      </c>
      <c r="L40" s="43">
        <f>$J$13/K40*$J$8/1000000</f>
        <v>240.43997836745007</v>
      </c>
      <c r="M40" s="43">
        <f>L40-$M$17</f>
        <v>-2.6592565643547061</v>
      </c>
      <c r="N40" s="30">
        <f>IF(ABS(M40)&gt;$M$15,M40+$M$15*SIGN(M40)*INT(M40/$M$15),M40)</f>
        <v>1.1994614504358458</v>
      </c>
      <c r="O40" s="46"/>
      <c r="P40" s="8">
        <f t="shared" si="8"/>
        <v>0.95283266914963738</v>
      </c>
      <c r="Q40" s="111">
        <f t="shared" si="2"/>
        <v>1.3812639484902305</v>
      </c>
      <c r="R40" s="119">
        <f t="shared" si="3"/>
        <v>0.68982664044125419</v>
      </c>
      <c r="S40" s="53">
        <f t="shared" si="9"/>
        <v>-2.2318523518352295E-4</v>
      </c>
      <c r="T40" s="16">
        <f t="shared" si="10"/>
        <v>-1.1059960088212856E-2</v>
      </c>
      <c r="U40" s="135">
        <f t="shared" si="11"/>
        <v>-2.7429239957420308</v>
      </c>
      <c r="V40" s="30">
        <f t="shared" si="7"/>
        <v>1.1157940190485212</v>
      </c>
      <c r="Y40" s="53"/>
    </row>
    <row r="41" spans="1:25" x14ac:dyDescent="0.2">
      <c r="A41" s="5"/>
      <c r="B41" s="14">
        <v>21</v>
      </c>
      <c r="C41" s="2" t="s">
        <v>80</v>
      </c>
      <c r="D41" s="14">
        <v>10</v>
      </c>
      <c r="E41" s="14">
        <v>10</v>
      </c>
      <c r="F41" s="92">
        <v>20.988354360608824</v>
      </c>
      <c r="G41" s="55">
        <f t="shared" si="0"/>
        <v>2.0988354360608823</v>
      </c>
      <c r="H41" s="99">
        <v>4.84</v>
      </c>
      <c r="J41" s="41">
        <f>$J$10*$J$11*G41*$J$15</f>
        <v>6.3475929923457244</v>
      </c>
      <c r="K41" s="42">
        <f>$J$7*(1+$J$6*(J41-$J$16)/$J$16)</f>
        <v>109.53082896955213</v>
      </c>
      <c r="L41" s="43">
        <f>$J$13/K41*$J$8/1000000</f>
        <v>240.54501668414366</v>
      </c>
      <c r="M41" s="43">
        <f>L41-$M$17</f>
        <v>-2.5542182476611117</v>
      </c>
      <c r="N41" s="30">
        <f>IF(ABS(M41)&gt;$M$15,M41+$M$15*SIGN(M41)*INT(M41/$M$15),M41)</f>
        <v>1.3044997671294403</v>
      </c>
      <c r="O41" s="46"/>
      <c r="P41" s="8">
        <f t="shared" si="8"/>
        <v>0.95363529955672854</v>
      </c>
      <c r="Q41" s="111">
        <f t="shared" si="2"/>
        <v>1.3818177465066264</v>
      </c>
      <c r="R41" s="119">
        <f t="shared" si="3"/>
        <v>0.69013102630040313</v>
      </c>
      <c r="S41" s="53">
        <f t="shared" si="9"/>
        <v>-2.0603043687547536E-4</v>
      </c>
      <c r="T41" s="16">
        <f t="shared" si="10"/>
        <v>-1.0618462535081469E-2</v>
      </c>
      <c r="U41" s="135">
        <f t="shared" si="11"/>
        <v>-2.631425960007431</v>
      </c>
      <c r="V41" s="30">
        <f t="shared" si="7"/>
        <v>1.227292054783121</v>
      </c>
      <c r="Y41" s="53"/>
    </row>
    <row r="42" spans="1:25" x14ac:dyDescent="0.2">
      <c r="A42" s="5"/>
      <c r="B42" s="14">
        <v>42</v>
      </c>
      <c r="C42" s="2" t="s">
        <v>44</v>
      </c>
      <c r="D42" s="14">
        <v>20</v>
      </c>
      <c r="E42" s="14">
        <v>20</v>
      </c>
      <c r="F42" s="92">
        <v>41.947622041057343</v>
      </c>
      <c r="G42" s="55">
        <f t="shared" si="0"/>
        <v>2.097381102052867</v>
      </c>
      <c r="H42" s="99">
        <v>86.4</v>
      </c>
      <c r="J42" s="41">
        <f>$J$10*$J$11*G42*$J$15</f>
        <v>6.3431945911184542</v>
      </c>
      <c r="K42" s="42">
        <f>$J$7*(1+$J$6*(J42-$J$16)/$J$16)</f>
        <v>109.49146813937459</v>
      </c>
      <c r="L42" s="43">
        <f>$J$13/K42*$J$8/1000000</f>
        <v>240.6314896460342</v>
      </c>
      <c r="M42" s="43">
        <f>L42-$M$17</f>
        <v>-2.4677452857705759</v>
      </c>
      <c r="N42" s="30">
        <f>IF(ABS(M42)&gt;$M$15,M42+$M$15*SIGN(M42)*INT(M42/$M$15),M42)</f>
        <v>1.390972729019976</v>
      </c>
      <c r="O42" s="46"/>
      <c r="P42" s="8">
        <f t="shared" si="8"/>
        <v>0.95429655479833997</v>
      </c>
      <c r="Q42" s="111">
        <f t="shared" si="2"/>
        <v>1.382274182099912</v>
      </c>
      <c r="R42" s="119">
        <f t="shared" si="3"/>
        <v>0.69038152282393017</v>
      </c>
      <c r="S42" s="53">
        <f t="shared" si="9"/>
        <v>-1.9241489079251705E-4</v>
      </c>
      <c r="T42" s="16">
        <f t="shared" si="10"/>
        <v>-1.0255288239293217E-2</v>
      </c>
      <c r="U42" s="135">
        <f t="shared" si="11"/>
        <v>-2.5398286377184638</v>
      </c>
      <c r="V42" s="30">
        <f t="shared" si="7"/>
        <v>1.3188893770720882</v>
      </c>
      <c r="Y42" s="16"/>
    </row>
    <row r="43" spans="1:25" x14ac:dyDescent="0.2">
      <c r="B43" s="14">
        <v>63</v>
      </c>
      <c r="C43" s="2" t="s">
        <v>47</v>
      </c>
      <c r="D43" s="14">
        <v>30</v>
      </c>
      <c r="E43" s="14">
        <v>30</v>
      </c>
      <c r="F43" s="92">
        <v>62.916701041345561</v>
      </c>
      <c r="G43" s="55">
        <f t="shared" si="0"/>
        <v>2.097223368044852</v>
      </c>
      <c r="H43" s="99">
        <v>139</v>
      </c>
      <c r="J43" s="41">
        <f>$J$10*$J$11*G43*$J$15</f>
        <v>6.3427175497712724</v>
      </c>
      <c r="K43" s="42">
        <f>$J$7*(1+$J$6*(J43-$J$16)/$J$16)</f>
        <v>109.48719914651016</v>
      </c>
      <c r="L43" s="43">
        <f>$J$13/K43*$J$8/1000000</f>
        <v>240.64087205895794</v>
      </c>
      <c r="M43" s="43">
        <f>L43-$M$17</f>
        <v>-2.4583628728468341</v>
      </c>
      <c r="N43" s="30">
        <f>IF(ABS(M43)&gt;$M$15,M43+$M$15*SIGN(M43)*INT(M43/$M$15),M43)</f>
        <v>1.4003551419437179</v>
      </c>
      <c r="O43" s="46"/>
      <c r="P43" s="8">
        <f t="shared" si="8"/>
        <v>0.95436832827879836</v>
      </c>
      <c r="Q43" s="111">
        <f t="shared" si="2"/>
        <v>1.3823237341598633</v>
      </c>
      <c r="R43" s="119">
        <f t="shared" si="3"/>
        <v>0.6904086971051222</v>
      </c>
      <c r="S43" s="53">
        <f t="shared" si="9"/>
        <v>-1.9096516487991335E-4</v>
      </c>
      <c r="T43" s="16">
        <f t="shared" si="10"/>
        <v>-1.0215899118935069E-2</v>
      </c>
      <c r="U43" s="135">
        <f t="shared" si="11"/>
        <v>-2.5299007454345466</v>
      </c>
      <c r="V43" s="30">
        <f t="shared" si="7"/>
        <v>1.3288172693560054</v>
      </c>
      <c r="Y43" s="16"/>
    </row>
    <row r="44" spans="1:25" x14ac:dyDescent="0.2">
      <c r="B44" s="14">
        <v>65</v>
      </c>
      <c r="C44" s="2" t="s">
        <v>39</v>
      </c>
      <c r="D44" s="14">
        <v>31</v>
      </c>
      <c r="E44" s="14">
        <v>31</v>
      </c>
      <c r="F44" s="92">
        <v>64.91567189896557</v>
      </c>
      <c r="G44" s="55">
        <f t="shared" si="0"/>
        <v>2.0940539322246958</v>
      </c>
      <c r="H44" s="99">
        <v>225</v>
      </c>
      <c r="J44" s="41">
        <f>$J$10*$J$11*G44*$J$15</f>
        <v>6.3331320966880753</v>
      </c>
      <c r="K44" s="42">
        <f>$J$7*(1+$J$6*(J44-$J$16)/$J$16)</f>
        <v>109.40141993459034</v>
      </c>
      <c r="L44" s="43">
        <f>$J$13/K44*$J$8/1000000</f>
        <v>240.82955319649034</v>
      </c>
      <c r="M44" s="43">
        <f>L44-$M$17</f>
        <v>-2.2696817353144354</v>
      </c>
      <c r="N44" s="30">
        <f>IF(ABS(M44)&gt;$M$15,M44+$M$15*SIGN(M44)*INT(M44/$M$15),M44)</f>
        <v>1.5890362794761166</v>
      </c>
      <c r="O44" s="46"/>
      <c r="P44" s="8">
        <f t="shared" si="8"/>
        <v>0.95581280357082476</v>
      </c>
      <c r="Q44" s="111">
        <f t="shared" si="2"/>
        <v>1.3833214071465532</v>
      </c>
      <c r="R44" s="119">
        <f t="shared" si="3"/>
        <v>0.69095497158713681</v>
      </c>
      <c r="S44" s="53">
        <f t="shared" si="9"/>
        <v>-1.6295887308698907E-4</v>
      </c>
      <c r="T44" s="16">
        <f t="shared" si="10"/>
        <v>-9.4244319486099428E-3</v>
      </c>
      <c r="U44" s="135">
        <f t="shared" si="11"/>
        <v>-2.3306873737467315</v>
      </c>
      <c r="V44" s="30">
        <f t="shared" si="7"/>
        <v>1.5280306410438205</v>
      </c>
      <c r="Y44" s="16"/>
    </row>
    <row r="45" spans="1:25" x14ac:dyDescent="0.2">
      <c r="A45" s="5"/>
      <c r="B45" s="14">
        <v>44</v>
      </c>
      <c r="C45" s="2" t="s">
        <v>71</v>
      </c>
      <c r="D45" s="14">
        <v>21</v>
      </c>
      <c r="E45" s="14">
        <v>21</v>
      </c>
      <c r="F45" s="92">
        <v>43.947856066693383</v>
      </c>
      <c r="G45" s="55">
        <f t="shared" si="0"/>
        <v>2.0927550507949229</v>
      </c>
      <c r="H45" s="99">
        <v>120</v>
      </c>
      <c r="I45">
        <f>4*3600</f>
        <v>14400</v>
      </c>
      <c r="J45" s="41">
        <f>$J$10*$J$11*G45*$J$15</f>
        <v>6.3292038369875483</v>
      </c>
      <c r="K45" s="42">
        <f>$J$7*(1+$J$6*(J45-$J$16)/$J$16)</f>
        <v>109.36626635150949</v>
      </c>
      <c r="L45" s="43">
        <f>$J$13/K45*$J$8/1000000</f>
        <v>240.90696300473417</v>
      </c>
      <c r="M45" s="43">
        <f>L45-$M$17</f>
        <v>-2.1922719270706068</v>
      </c>
      <c r="N45" s="30">
        <f>IF(ABS(M45)&gt;$M$15,M45+$M$15*SIGN(M45)*INT(M45/$M$15),M45)</f>
        <v>1.6664460877199452</v>
      </c>
      <c r="O45" s="46"/>
      <c r="P45" s="8">
        <f t="shared" si="8"/>
        <v>0.95640603472820551</v>
      </c>
      <c r="Q45" s="111">
        <f t="shared" si="2"/>
        <v>1.3837313696178639</v>
      </c>
      <c r="R45" s="119">
        <f t="shared" si="3"/>
        <v>0.69117897861369582</v>
      </c>
      <c r="S45" s="53">
        <f t="shared" si="9"/>
        <v>-1.5210249243129213E-4</v>
      </c>
      <c r="T45" s="16">
        <f t="shared" si="10"/>
        <v>-9.1000770576629454E-3</v>
      </c>
      <c r="U45" s="135">
        <f t="shared" si="11"/>
        <v>-2.2491977700795989</v>
      </c>
      <c r="V45" s="30">
        <f t="shared" si="7"/>
        <v>1.6095202447109531</v>
      </c>
    </row>
    <row r="46" spans="1:25" x14ac:dyDescent="0.2">
      <c r="B46" s="14">
        <v>67</v>
      </c>
      <c r="C46" s="2" t="s">
        <v>36</v>
      </c>
      <c r="D46" s="14">
        <v>32</v>
      </c>
      <c r="E46" s="14">
        <v>32</v>
      </c>
      <c r="F46" s="92">
        <v>66.915118639783969</v>
      </c>
      <c r="G46" s="55">
        <f t="shared" si="0"/>
        <v>2.091097457493249</v>
      </c>
      <c r="H46" s="99">
        <v>226</v>
      </c>
      <c r="J46" s="41">
        <f>$J$10*$J$11*G46*$J$15</f>
        <v>6.3241907104483808</v>
      </c>
      <c r="K46" s="42">
        <f>$J$7*(1+$J$6*(J46-$J$16)/$J$16)</f>
        <v>109.32140440914206</v>
      </c>
      <c r="L46" s="43">
        <f>$J$13/K46*$J$8/1000000</f>
        <v>241.00582337291775</v>
      </c>
      <c r="M46" s="43">
        <f>L46-$M$17</f>
        <v>-2.093411558887027</v>
      </c>
      <c r="N46" s="30">
        <f>IF(ABS(M46)&gt;$M$15,M46+$M$15*SIGN(M46)*INT(M46/$M$15),M46)</f>
        <v>1.765306455903525</v>
      </c>
      <c r="O46" s="46"/>
      <c r="P46" s="8">
        <f t="shared" si="8"/>
        <v>0.95716416880328892</v>
      </c>
      <c r="Q46" s="111">
        <f t="shared" si="2"/>
        <v>1.3842554843817274</v>
      </c>
      <c r="R46" s="119">
        <f t="shared" si="3"/>
        <v>0.69146496409281177</v>
      </c>
      <c r="S46" s="53">
        <f t="shared" si="9"/>
        <v>-1.3877505602756521E-4</v>
      </c>
      <c r="T46" s="16">
        <f t="shared" si="10"/>
        <v>-8.6861451295632084E-3</v>
      </c>
      <c r="U46" s="135">
        <f t="shared" si="11"/>
        <v>-2.1453313454513578</v>
      </c>
      <c r="V46" s="30">
        <f t="shared" si="7"/>
        <v>1.7133866693391941</v>
      </c>
    </row>
    <row r="47" spans="1:25" x14ac:dyDescent="0.2">
      <c r="A47" s="5"/>
      <c r="B47" s="14">
        <v>23</v>
      </c>
      <c r="C47" s="2" t="s">
        <v>79</v>
      </c>
      <c r="D47" s="14">
        <v>11</v>
      </c>
      <c r="E47" s="14">
        <v>11</v>
      </c>
      <c r="F47" s="92">
        <v>22.983727554260888</v>
      </c>
      <c r="G47" s="55">
        <f t="shared" si="0"/>
        <v>2.0894297776600808</v>
      </c>
      <c r="H47" s="99">
        <v>8.56</v>
      </c>
      <c r="J47" s="41">
        <f>$J$10*$J$11*G47*$J$15</f>
        <v>6.3191470788036046</v>
      </c>
      <c r="K47" s="42">
        <f>$J$7*(1+$J$6*(J47-$J$16)/$J$16)</f>
        <v>109.27626947979152</v>
      </c>
      <c r="L47" s="43">
        <f>$J$13/K47*$J$8/1000000</f>
        <v>241.10536722505313</v>
      </c>
      <c r="M47" s="43">
        <f>L47-$M$17</f>
        <v>-1.9938677067516437</v>
      </c>
      <c r="N47" s="30">
        <f>IF(ABS(M47)&gt;$M$15,M47+$M$15*SIGN(M47)*INT(M47/$M$15),M47)</f>
        <v>1.8648503080389083</v>
      </c>
      <c r="O47" s="46"/>
      <c r="P47" s="8">
        <f t="shared" si="8"/>
        <v>0.95792813005166932</v>
      </c>
      <c r="Q47" s="111">
        <f t="shared" si="2"/>
        <v>1.3847838467949747</v>
      </c>
      <c r="R47" s="119">
        <f t="shared" si="3"/>
        <v>0.69175281923511356</v>
      </c>
      <c r="S47" s="53">
        <f t="shared" si="9"/>
        <v>-1.2596542272740225E-4</v>
      </c>
      <c r="T47" s="16">
        <f t="shared" si="10"/>
        <v>-8.269694406639003E-3</v>
      </c>
      <c r="U47" s="135">
        <f t="shared" si="11"/>
        <v>-2.0409784812666598</v>
      </c>
      <c r="V47" s="30">
        <f t="shared" si="7"/>
        <v>1.8177395335238922</v>
      </c>
    </row>
    <row r="48" spans="1:25" x14ac:dyDescent="0.2">
      <c r="B48" s="14">
        <v>69</v>
      </c>
      <c r="C48" s="2" t="s">
        <v>37</v>
      </c>
      <c r="D48" s="14">
        <v>33</v>
      </c>
      <c r="E48" s="14">
        <v>33</v>
      </c>
      <c r="F48" s="92">
        <v>68.914103263800769</v>
      </c>
      <c r="G48" s="55">
        <f t="shared" si="0"/>
        <v>2.0883061595091141</v>
      </c>
      <c r="H48" s="99">
        <v>240</v>
      </c>
      <c r="J48" s="41">
        <f>$J$10*$J$11*G48*$J$15</f>
        <v>6.3157488749336839</v>
      </c>
      <c r="K48" s="42">
        <f>$J$7*(1+$J$6*(J48-$J$16)/$J$16)</f>
        <v>109.24585931061385</v>
      </c>
      <c r="L48" s="43">
        <f>$J$13/K48*$J$8/1000000</f>
        <v>241.17248240043119</v>
      </c>
      <c r="M48" s="43">
        <f>L48-$M$17</f>
        <v>-1.9267525313735803</v>
      </c>
      <c r="N48" s="30">
        <f>IF(ABS(M48)&gt;$M$15,M48+$M$15*SIGN(M48)*INT(M48/$M$15),M48)</f>
        <v>-1.9267525313735803</v>
      </c>
      <c r="O48" s="46"/>
      <c r="P48" s="8">
        <f t="shared" si="8"/>
        <v>0.95844354558561606</v>
      </c>
      <c r="Q48" s="111">
        <f t="shared" si="2"/>
        <v>1.3851404369502491</v>
      </c>
      <c r="R48" s="119">
        <f t="shared" si="3"/>
        <v>0.69194683803750734</v>
      </c>
      <c r="S48" s="53">
        <f t="shared" si="9"/>
        <v>-1.1767480990803065E-4</v>
      </c>
      <c r="T48" s="16">
        <f t="shared" si="10"/>
        <v>-7.9891060215340898E-3</v>
      </c>
      <c r="U48" s="135">
        <f t="shared" si="11"/>
        <v>-1.9707522178833998</v>
      </c>
      <c r="V48" s="30">
        <f t="shared" si="7"/>
        <v>1.8879657969071522</v>
      </c>
    </row>
    <row r="49" spans="1:22" x14ac:dyDescent="0.2">
      <c r="A49" s="5"/>
      <c r="B49" s="14">
        <v>46</v>
      </c>
      <c r="C49" s="2" t="s">
        <v>70</v>
      </c>
      <c r="D49" s="14">
        <v>22</v>
      </c>
      <c r="E49" s="14">
        <v>22</v>
      </c>
      <c r="F49" s="92">
        <v>45.940533975527813</v>
      </c>
      <c r="G49" s="55">
        <f t="shared" si="0"/>
        <v>2.088206089796719</v>
      </c>
      <c r="H49" s="99">
        <v>179</v>
      </c>
      <c r="J49" s="41">
        <f>$J$10*$J$11*G49*$J$15</f>
        <v>6.3154462300506067</v>
      </c>
      <c r="K49" s="42">
        <f>$J$7*(1+$J$6*(J49-$J$16)/$J$16)</f>
        <v>109.24315097337235</v>
      </c>
      <c r="L49" s="43">
        <f>$J$13/K49*$J$8/1000000</f>
        <v>241.1784615067632</v>
      </c>
      <c r="M49" s="43">
        <f>L49-$M$17</f>
        <v>-1.920773425041574</v>
      </c>
      <c r="N49" s="30">
        <f>IF(ABS(M49)&gt;$M$15,M49+$M$15*SIGN(M49)*INT(M49/$M$15),M49)</f>
        <v>-1.920773425041574</v>
      </c>
      <c r="O49" s="46"/>
      <c r="P49" s="8">
        <f t="shared" si="8"/>
        <v>0.95848947552060781</v>
      </c>
      <c r="Q49" s="111">
        <f t="shared" si="2"/>
        <v>1.385172218420428</v>
      </c>
      <c r="R49" s="119">
        <f t="shared" si="3"/>
        <v>0.69196412025474718</v>
      </c>
      <c r="S49" s="53">
        <f t="shared" si="9"/>
        <v>-1.1694975468145732E-4</v>
      </c>
      <c r="T49" s="16">
        <f t="shared" si="10"/>
        <v>-7.9641167500678987E-3</v>
      </c>
      <c r="U49" s="135">
        <f t="shared" si="11"/>
        <v>-1.9645010847376023</v>
      </c>
      <c r="V49" s="30">
        <f t="shared" si="7"/>
        <v>1.8942169300529497</v>
      </c>
    </row>
    <row r="50" spans="1:22" x14ac:dyDescent="0.2">
      <c r="A50" s="25"/>
      <c r="B50" s="14">
        <v>71</v>
      </c>
      <c r="C50" s="2" t="s">
        <v>42</v>
      </c>
      <c r="D50" s="14">
        <v>34</v>
      </c>
      <c r="E50" s="14">
        <v>34</v>
      </c>
      <c r="F50" s="92">
        <v>70.913517771015975</v>
      </c>
      <c r="G50" s="55">
        <f t="shared" si="0"/>
        <v>2.0856916991475285</v>
      </c>
      <c r="H50" s="99">
        <v>304</v>
      </c>
      <c r="J50" s="41">
        <f>$J$10*$J$11*G50*$J$15</f>
        <v>6.3078418566011214</v>
      </c>
      <c r="K50" s="42">
        <f>$J$7*(1+$J$6*(J50-$J$16)/$J$16)</f>
        <v>109.17510023482309</v>
      </c>
      <c r="L50" s="43">
        <f>$J$13/K50*$J$8/1000000</f>
        <v>241.32879223595333</v>
      </c>
      <c r="M50" s="43">
        <f>L50-$M$17</f>
        <v>-1.7704426958514432</v>
      </c>
      <c r="N50" s="30">
        <f>IF(ABS(M50)&gt;$M$15,M50+$M$15*SIGN(M50)*INT(M50/$M$15),M50)</f>
        <v>-1.7704426958514432</v>
      </c>
      <c r="O50" s="46"/>
      <c r="P50" s="8">
        <f t="shared" si="8"/>
        <v>0.95964497562428153</v>
      </c>
      <c r="Q50" s="111">
        <f t="shared" si="2"/>
        <v>1.3859720340760588</v>
      </c>
      <c r="R50" s="119">
        <f t="shared" si="3"/>
        <v>0.69239851312297007</v>
      </c>
      <c r="S50" s="53">
        <f t="shared" si="9"/>
        <v>-9.9448508212363808E-5</v>
      </c>
      <c r="T50" s="16">
        <f t="shared" si="10"/>
        <v>-7.3362265623092629E-3</v>
      </c>
      <c r="U50" s="135">
        <f t="shared" si="11"/>
        <v>-1.8076069208453009</v>
      </c>
      <c r="V50" s="30">
        <f t="shared" si="7"/>
        <v>-1.8076069208453009</v>
      </c>
    </row>
    <row r="51" spans="1:22" x14ac:dyDescent="0.2">
      <c r="B51" s="14">
        <v>48</v>
      </c>
      <c r="C51" s="2" t="s">
        <v>69</v>
      </c>
      <c r="D51" s="14">
        <v>23</v>
      </c>
      <c r="E51" s="14">
        <v>23</v>
      </c>
      <c r="F51" s="92">
        <v>47.939604767560645</v>
      </c>
      <c r="G51" s="55">
        <f t="shared" si="0"/>
        <v>2.084330642067854</v>
      </c>
      <c r="H51" s="99">
        <v>244</v>
      </c>
      <c r="J51" s="41">
        <f>$J$10*$J$11*G51*$J$15</f>
        <v>6.3037255565650687</v>
      </c>
      <c r="K51" s="42">
        <f>$J$7*(1+$J$6*(J51-$J$16)/$J$16)</f>
        <v>109.13826389854836</v>
      </c>
      <c r="L51" s="43">
        <f>$J$13/K51*$J$8/1000000</f>
        <v>241.41024550656647</v>
      </c>
      <c r="M51" s="43">
        <f>L51-$M$17</f>
        <v>-1.6889894252383044</v>
      </c>
      <c r="N51" s="30">
        <f>IF(ABS(M51)&gt;$M$15,M51+$M$15*SIGN(M51)*INT(M51/$M$15),M51)</f>
        <v>-1.6889894252383044</v>
      </c>
      <c r="O51" s="46"/>
      <c r="P51" s="8">
        <f t="shared" si="8"/>
        <v>0.96027161880731882</v>
      </c>
      <c r="Q51" s="111">
        <f t="shared" si="2"/>
        <v>1.3864059946086604</v>
      </c>
      <c r="R51" s="119">
        <f t="shared" si="3"/>
        <v>0.69263377577819396</v>
      </c>
      <c r="S51" s="53">
        <f t="shared" si="9"/>
        <v>-9.0552068674260217E-5</v>
      </c>
      <c r="T51" s="16">
        <f t="shared" si="10"/>
        <v>-6.9963452532604701E-3</v>
      </c>
      <c r="U51" s="135">
        <f t="shared" si="11"/>
        <v>-1.7228193170025892</v>
      </c>
      <c r="V51" s="30">
        <f t="shared" si="7"/>
        <v>-1.7228193170025892</v>
      </c>
    </row>
    <row r="52" spans="1:22" x14ac:dyDescent="0.2">
      <c r="B52" s="14">
        <v>73</v>
      </c>
      <c r="C52" s="2" t="s">
        <v>57</v>
      </c>
      <c r="D52" s="14">
        <v>35</v>
      </c>
      <c r="E52" s="14">
        <v>35</v>
      </c>
      <c r="F52" s="92">
        <v>72.912418161429571</v>
      </c>
      <c r="G52" s="55">
        <f t="shared" ref="G52:G83" si="12">F52/E52</f>
        <v>2.0832119474694162</v>
      </c>
      <c r="H52" s="99">
        <v>422</v>
      </c>
      <c r="J52" s="41">
        <f>$J$10*$J$11*G52*$J$15</f>
        <v>6.3003422431944189</v>
      </c>
      <c r="K52" s="42">
        <f>$J$7*(1+$J$6*(J52-$J$16)/$J$16)</f>
        <v>109.10798698288322</v>
      </c>
      <c r="L52" s="43">
        <f>$J$13/K52*$J$8/1000000</f>
        <v>241.47723563117623</v>
      </c>
      <c r="M52" s="43">
        <f>L52-$M$17</f>
        <v>-1.6219993006285449</v>
      </c>
      <c r="N52" s="30">
        <f>IF(ABS(M52)&gt;$M$15,M52+$M$15*SIGN(M52)*INT(M52/$M$15),M52)</f>
        <v>-1.6219993006285449</v>
      </c>
      <c r="O52" s="46"/>
      <c r="P52" s="8">
        <f t="shared" si="8"/>
        <v>0.9607872891760002</v>
      </c>
      <c r="Q52" s="111">
        <f t="shared" si="2"/>
        <v>1.3867632152037228</v>
      </c>
      <c r="R52" s="119">
        <f t="shared" si="3"/>
        <v>0.692827209895999</v>
      </c>
      <c r="S52" s="53">
        <f t="shared" si="9"/>
        <v>-8.3544635189618742E-5</v>
      </c>
      <c r="T52" s="16">
        <f t="shared" si="10"/>
        <v>-6.7169863709468222E-3</v>
      </c>
      <c r="U52" s="135">
        <f t="shared" si="11"/>
        <v>-1.6532038847217854</v>
      </c>
      <c r="V52" s="30">
        <f t="shared" si="7"/>
        <v>-1.6532038847217854</v>
      </c>
    </row>
    <row r="53" spans="1:22" x14ac:dyDescent="0.2">
      <c r="A53" s="5"/>
      <c r="B53" s="14">
        <v>25</v>
      </c>
      <c r="C53" s="2" t="s">
        <v>78</v>
      </c>
      <c r="D53" s="14">
        <v>12</v>
      </c>
      <c r="E53" s="14">
        <v>12</v>
      </c>
      <c r="F53" s="92">
        <v>24.979244631111353</v>
      </c>
      <c r="G53" s="55">
        <f t="shared" si="12"/>
        <v>2.0816037192592796</v>
      </c>
      <c r="H53" s="99">
        <v>13.7</v>
      </c>
      <c r="J53" s="41">
        <f>$J$10*$J$11*G53*$J$15</f>
        <v>6.2954784135004074</v>
      </c>
      <c r="K53" s="42">
        <f>$J$7*(1+$J$6*(J53-$J$16)/$J$16)</f>
        <v>109.06446108228747</v>
      </c>
      <c r="L53" s="43">
        <f>$J$13/K53*$J$8/1000000</f>
        <v>241.57360537481151</v>
      </c>
      <c r="M53" s="43">
        <f>L53-$M$17</f>
        <v>-1.5256295569932661</v>
      </c>
      <c r="N53" s="30">
        <f>IF(ABS(M53)&gt;$M$15,M53+$M$15*SIGN(M53)*INT(M53/$M$15),M53)</f>
        <v>-1.5256295569932661</v>
      </c>
      <c r="O53" s="46"/>
      <c r="P53" s="8">
        <f t="shared" si="8"/>
        <v>0.96152958474748551</v>
      </c>
      <c r="Q53" s="111">
        <f t="shared" si="2"/>
        <v>1.3872776010390537</v>
      </c>
      <c r="R53" s="119">
        <f t="shared" si="3"/>
        <v>0.69310539147126127</v>
      </c>
      <c r="S53" s="53">
        <f t="shared" si="9"/>
        <v>-7.3954387167424142E-5</v>
      </c>
      <c r="T53" s="16">
        <f t="shared" si="10"/>
        <v>-6.3153818258669088E-3</v>
      </c>
      <c r="U53" s="135">
        <f t="shared" si="11"/>
        <v>-1.5532427451107211</v>
      </c>
      <c r="V53" s="30">
        <f t="shared" si="7"/>
        <v>-1.5532427451107211</v>
      </c>
    </row>
    <row r="54" spans="1:22" x14ac:dyDescent="0.2">
      <c r="B54" s="14">
        <v>75</v>
      </c>
      <c r="C54" s="2" t="s">
        <v>68</v>
      </c>
      <c r="D54" s="14">
        <v>36</v>
      </c>
      <c r="E54" s="14">
        <v>36</v>
      </c>
      <c r="F54" s="92">
        <v>74.911120435041539</v>
      </c>
      <c r="G54" s="55">
        <f t="shared" si="12"/>
        <v>2.0808644565289316</v>
      </c>
      <c r="H54" s="99">
        <v>502</v>
      </c>
      <c r="J54" s="41">
        <f>$J$10*$J$11*G54*$J$15</f>
        <v>6.2932426312918386</v>
      </c>
      <c r="K54" s="42">
        <f>$J$7*(1+$J$6*(J54-$J$16)/$J$16)</f>
        <v>109.04445330235144</v>
      </c>
      <c r="L54" s="43">
        <f>$J$13/K54*$J$8/1000000</f>
        <v>241.61792997260918</v>
      </c>
      <c r="M54" s="43">
        <f>L54-$M$17</f>
        <v>-1.4813049591955973</v>
      </c>
      <c r="N54" s="30">
        <f>IF(ABS(M54)&gt;$M$15,M54+$M$15*SIGN(M54)*INT(M54/$M$15),M54)</f>
        <v>-1.4813049591955973</v>
      </c>
      <c r="O54" s="46"/>
      <c r="P54" s="8">
        <f t="shared" si="8"/>
        <v>0.96187118459744236</v>
      </c>
      <c r="Q54" s="111">
        <f t="shared" si="2"/>
        <v>1.3875143875862648</v>
      </c>
      <c r="R54" s="119">
        <f t="shared" si="3"/>
        <v>0.69323330496826352</v>
      </c>
      <c r="S54" s="53">
        <f t="shared" si="9"/>
        <v>-6.9737925414912696E-5</v>
      </c>
      <c r="T54" s="16">
        <f t="shared" si="10"/>
        <v>-6.1307741497643245E-3</v>
      </c>
      <c r="U54" s="135">
        <f t="shared" si="11"/>
        <v>-1.5073397416614898</v>
      </c>
      <c r="V54" s="30">
        <f t="shared" si="7"/>
        <v>-1.5073397416614898</v>
      </c>
    </row>
    <row r="55" spans="1:22" x14ac:dyDescent="0.2">
      <c r="B55" s="14">
        <v>50</v>
      </c>
      <c r="C55" s="2" t="s">
        <v>46</v>
      </c>
      <c r="D55" s="14">
        <v>24</v>
      </c>
      <c r="E55" s="14">
        <v>24</v>
      </c>
      <c r="F55" s="92">
        <v>49.932844442791868</v>
      </c>
      <c r="G55" s="55">
        <f t="shared" si="12"/>
        <v>2.0805351851163278</v>
      </c>
      <c r="H55" s="99">
        <v>328</v>
      </c>
      <c r="J55" s="41">
        <f>$J$10*$J$11*G55*$J$15</f>
        <v>6.2922468024263098</v>
      </c>
      <c r="K55" s="42">
        <f>$J$7*(1+$J$6*(J55-$J$16)/$J$16)</f>
        <v>109.03554173452565</v>
      </c>
      <c r="L55" s="43">
        <f>$J$13/K55*$J$8/1000000</f>
        <v>241.63767761210934</v>
      </c>
      <c r="M55" s="43">
        <f>L55-$M$17</f>
        <v>-1.4615573196954301</v>
      </c>
      <c r="N55" s="30">
        <f>IF(ABS(M55)&gt;$M$15,M55+$M$15*SIGN(M55)*INT(M55/$M$15),M55)</f>
        <v>-1.4615573196954301</v>
      </c>
      <c r="O55" s="46"/>
      <c r="P55" s="8">
        <f t="shared" si="8"/>
        <v>0.96202341306536776</v>
      </c>
      <c r="Q55" s="111">
        <f t="shared" si="2"/>
        <v>1.3876199217674627</v>
      </c>
      <c r="R55" s="119">
        <f t="shared" si="3"/>
        <v>0.69329028646403634</v>
      </c>
      <c r="S55" s="53">
        <f t="shared" si="9"/>
        <v>-6.7898895181085528E-5</v>
      </c>
      <c r="T55" s="16">
        <f t="shared" si="10"/>
        <v>-6.048548943768663E-3</v>
      </c>
      <c r="U55" s="135">
        <f t="shared" si="11"/>
        <v>-1.4869037901489746</v>
      </c>
      <c r="V55" s="30">
        <f t="shared" si="7"/>
        <v>-1.4869037901489746</v>
      </c>
    </row>
    <row r="56" spans="1:22" x14ac:dyDescent="0.2">
      <c r="B56" s="14">
        <v>77</v>
      </c>
      <c r="C56" s="2" t="s">
        <v>67</v>
      </c>
      <c r="D56" s="14">
        <v>37</v>
      </c>
      <c r="E56" s="14">
        <v>37</v>
      </c>
      <c r="F56" s="92">
        <v>76.910029591851938</v>
      </c>
      <c r="G56" s="55">
        <f t="shared" si="12"/>
        <v>2.0786494484284308</v>
      </c>
      <c r="H56" s="99">
        <v>97.4</v>
      </c>
      <c r="I56" s="1"/>
      <c r="J56" s="41">
        <f>$J$10*$J$11*G56*$J$15</f>
        <v>6.2865436926065277</v>
      </c>
      <c r="K56" s="42">
        <f>$J$7*(1+$J$6*(J56-$J$16)/$J$16)</f>
        <v>108.98450520431813</v>
      </c>
      <c r="L56" s="43">
        <f>$J$13/K56*$J$8/1000000</f>
        <v>241.75083451096947</v>
      </c>
      <c r="M56" s="43">
        <f>L56-$M$17</f>
        <v>-1.3484004208353042</v>
      </c>
      <c r="N56" s="30">
        <f>IF(ABS(M56)&gt;$M$15,M56+$M$15*SIGN(M56)*INT(M56/$M$15),M56)</f>
        <v>-1.3484004208353042</v>
      </c>
      <c r="O56" s="46"/>
      <c r="P56" s="8">
        <f t="shared" si="8"/>
        <v>0.96289615418388819</v>
      </c>
      <c r="Q56" s="111">
        <f t="shared" si="2"/>
        <v>1.3882251271829515</v>
      </c>
      <c r="R56" s="119">
        <f t="shared" si="3"/>
        <v>0.69361671628710542</v>
      </c>
      <c r="S56" s="53">
        <f t="shared" si="9"/>
        <v>-5.7830992895056673E-5</v>
      </c>
      <c r="T56" s="16">
        <f t="shared" si="10"/>
        <v>-5.5776453618577877E-3</v>
      </c>
      <c r="U56" s="135">
        <f t="shared" si="11"/>
        <v>-1.3699799903166925</v>
      </c>
      <c r="V56" s="30">
        <f t="shared" si="7"/>
        <v>-1.3699799903166925</v>
      </c>
    </row>
    <row r="57" spans="1:22" x14ac:dyDescent="0.2">
      <c r="B57" s="114" t="s">
        <v>89</v>
      </c>
      <c r="C57" s="102" t="s">
        <v>60</v>
      </c>
      <c r="D57" s="103">
        <v>25</v>
      </c>
      <c r="E57" s="103">
        <v>25</v>
      </c>
      <c r="F57" s="109">
        <f>F58+0.4/931.49</f>
        <v>51.932243420753643</v>
      </c>
      <c r="G57" s="104">
        <f>F57/E57</f>
        <v>2.0772897368301457</v>
      </c>
      <c r="H57" s="112" t="s">
        <v>88</v>
      </c>
      <c r="I57" s="115"/>
      <c r="J57" s="105">
        <f>$J$10*$J$11*G57*$J$15</f>
        <v>6.2824314617643218</v>
      </c>
      <c r="K57" s="106">
        <f>$J$7*(1+$J$6*(J57-$J$16)/$J$16)</f>
        <v>108.94770528283136</v>
      </c>
      <c r="L57" s="107">
        <f>$J$13/K57*$J$8/1000000</f>
        <v>241.83249214392529</v>
      </c>
      <c r="M57" s="107">
        <f>L57-$M$17</f>
        <v>-1.2667427878794797</v>
      </c>
      <c r="N57" s="108">
        <f>IF(ABS(M57)&gt;$M$15,M57+$M$15*SIGN(M57)*INT(M57/$M$15),M57)</f>
        <v>-1.2667427878794797</v>
      </c>
      <c r="O57" s="116"/>
      <c r="P57" s="120">
        <f t="shared" si="8"/>
        <v>0.96352642787444509</v>
      </c>
      <c r="Q57" s="121">
        <f t="shared" si="2"/>
        <v>1.3886623697690119</v>
      </c>
      <c r="R57" s="122">
        <f t="shared" si="3"/>
        <v>0.69385219103670004</v>
      </c>
      <c r="S57" s="123">
        <f t="shared" si="9"/>
        <v>-5.1063483737400616E-5</v>
      </c>
      <c r="T57" s="124">
        <f t="shared" si="10"/>
        <v>-5.2381000445780469E-3</v>
      </c>
      <c r="U57" s="135">
        <f t="shared" si="11"/>
        <v>-1.2857916071626905</v>
      </c>
      <c r="V57" s="108">
        <f t="shared" si="7"/>
        <v>-1.2857916071626905</v>
      </c>
    </row>
    <row r="58" spans="1:22" x14ac:dyDescent="0.2">
      <c r="A58" s="5"/>
      <c r="B58" s="14">
        <v>52</v>
      </c>
      <c r="C58" s="2" t="s">
        <v>60</v>
      </c>
      <c r="D58" s="14">
        <v>25</v>
      </c>
      <c r="E58" s="14">
        <v>25</v>
      </c>
      <c r="F58" s="92">
        <v>51.931814001221497</v>
      </c>
      <c r="G58" s="55">
        <f>F58/E58</f>
        <v>2.07727256004886</v>
      </c>
      <c r="H58" s="99">
        <v>433</v>
      </c>
      <c r="I58">
        <f>5.6*24*3600</f>
        <v>483839.99999999994</v>
      </c>
      <c r="J58" s="41">
        <f>$J$10*$J$11*G58*$J$15</f>
        <v>6.2823795133291815</v>
      </c>
      <c r="K58" s="42">
        <f>$J$7*(1+$J$6*(J58-$J$16)/$J$16)</f>
        <v>108.94724040174664</v>
      </c>
      <c r="L58" s="43">
        <f>$J$13/K58*$J$8/1000000</f>
        <v>241.83352405029439</v>
      </c>
      <c r="M58" s="43">
        <f>L58-$M$17</f>
        <v>-1.2657108815103868</v>
      </c>
      <c r="N58" s="30">
        <f>IF(ABS(M58)&gt;$M$15,M58+$M$15*SIGN(M58)*INT(M58/$M$15),M58)</f>
        <v>-1.2657108815103868</v>
      </c>
      <c r="O58" s="46"/>
      <c r="P58" s="8">
        <f t="shared" si="8"/>
        <v>0.96353439518842832</v>
      </c>
      <c r="Q58" s="111">
        <f t="shared" si="2"/>
        <v>1.3886678979191283</v>
      </c>
      <c r="R58" s="119">
        <f t="shared" si="3"/>
        <v>0.69385516625843513</v>
      </c>
      <c r="S58" s="53">
        <f t="shared" si="9"/>
        <v>-5.0980636102224527E-5</v>
      </c>
      <c r="T58" s="16">
        <f t="shared" si="10"/>
        <v>-5.2338106822905541E-3</v>
      </c>
      <c r="U58" s="135">
        <f t="shared" si="11"/>
        <v>-1.2847287262755285</v>
      </c>
      <c r="V58" s="30">
        <f t="shared" si="7"/>
        <v>-1.2847287262755285</v>
      </c>
    </row>
    <row r="59" spans="1:22" x14ac:dyDescent="0.2">
      <c r="B59" s="14">
        <v>27</v>
      </c>
      <c r="C59" s="2" t="s">
        <v>77</v>
      </c>
      <c r="D59" s="14">
        <v>13</v>
      </c>
      <c r="E59" s="14">
        <v>13</v>
      </c>
      <c r="F59" s="92">
        <v>26.974396591160211</v>
      </c>
      <c r="G59" s="55">
        <f>F59/E59</f>
        <v>2.0749535839354007</v>
      </c>
      <c r="H59" s="99">
        <v>21</v>
      </c>
      <c r="J59" s="41">
        <f>$J$10*$J$11*G59*$J$15</f>
        <v>6.2753661399725562</v>
      </c>
      <c r="K59" s="42">
        <f>$J$7*(1+$J$6*(J59-$J$16)/$J$16)</f>
        <v>108.88447846089635</v>
      </c>
      <c r="L59" s="43">
        <f>$J$13/K59*$J$8/1000000</f>
        <v>241.97291895346706</v>
      </c>
      <c r="M59" s="43">
        <f>L59-$M$17</f>
        <v>-1.1263159783377148</v>
      </c>
      <c r="N59" s="30">
        <f>IF(ABS(M59)&gt;$M$15,M59+$M$15*SIGN(M59)*INT(M59/$M$15),M59)</f>
        <v>-1.1263159783377148</v>
      </c>
      <c r="O59" s="46"/>
      <c r="P59" s="8">
        <f t="shared" si="8"/>
        <v>0.96461124493785766</v>
      </c>
      <c r="Q59" s="111">
        <f t="shared" si="2"/>
        <v>1.3894152920781331</v>
      </c>
      <c r="R59" s="119">
        <f t="shared" si="3"/>
        <v>0.69425696581696561</v>
      </c>
      <c r="S59" s="53">
        <f t="shared" si="9"/>
        <v>-4.0403260085657031E-5</v>
      </c>
      <c r="T59" s="16">
        <f t="shared" si="10"/>
        <v>-4.6547191446424602E-3</v>
      </c>
      <c r="U59" s="135">
        <f t="shared" si="11"/>
        <v>-1.1413806645005806</v>
      </c>
      <c r="V59" s="30">
        <f t="shared" si="7"/>
        <v>-1.1413806645005806</v>
      </c>
    </row>
    <row r="60" spans="1:22" x14ac:dyDescent="0.2">
      <c r="B60" s="14">
        <v>54</v>
      </c>
      <c r="C60" s="2" t="s">
        <v>59</v>
      </c>
      <c r="D60" s="14">
        <v>26</v>
      </c>
      <c r="E60" s="14">
        <v>26</v>
      </c>
      <c r="F60" s="92">
        <v>53.925307442849515</v>
      </c>
      <c r="G60" s="55">
        <f>F60/E60</f>
        <v>2.0740502862634429</v>
      </c>
      <c r="H60" s="99">
        <v>576</v>
      </c>
      <c r="J60" s="41">
        <f>$J$10*$J$11*G60*$J$15</f>
        <v>6.2726342602482061</v>
      </c>
      <c r="K60" s="42">
        <f>$J$7*(1+$J$6*(J60-$J$16)/$J$16)</f>
        <v>108.86003115644651</v>
      </c>
      <c r="L60" s="43">
        <f>$J$13/K60*$J$8/1000000</f>
        <v>242.02726016167202</v>
      </c>
      <c r="M60" s="43">
        <f>L60-$M$17</f>
        <v>-1.0719747701327549</v>
      </c>
      <c r="N60" s="30">
        <f>IF(ABS(M60)&gt;$M$15,M60+$M$15*SIGN(M60)*INT(M60/$M$15),M60)</f>
        <v>-1.0719747701327549</v>
      </c>
      <c r="O60" s="46"/>
      <c r="P60" s="8">
        <f t="shared" si="8"/>
        <v>0.96503135581832544</v>
      </c>
      <c r="Q60" s="111">
        <f t="shared" si="2"/>
        <v>1.3897069898768428</v>
      </c>
      <c r="R60" s="119">
        <f t="shared" si="3"/>
        <v>0.69441354389665078</v>
      </c>
      <c r="S60" s="53">
        <f t="shared" si="9"/>
        <v>-3.6610469028462916E-5</v>
      </c>
      <c r="T60" s="16">
        <f t="shared" si="10"/>
        <v>-4.4291488876777672E-3</v>
      </c>
      <c r="U60" s="135">
        <f t="shared" si="11"/>
        <v>-1.0856226830048332</v>
      </c>
      <c r="V60" s="30">
        <f t="shared" si="7"/>
        <v>-1.0856226830048332</v>
      </c>
    </row>
    <row r="61" spans="1:22" x14ac:dyDescent="0.2">
      <c r="A61" s="5"/>
      <c r="B61" s="14">
        <v>56</v>
      </c>
      <c r="C61" s="2" t="s">
        <v>58</v>
      </c>
      <c r="D61" s="14">
        <v>27</v>
      </c>
      <c r="E61" s="14">
        <v>27</v>
      </c>
      <c r="F61" s="92">
        <v>55.92498476767593</v>
      </c>
      <c r="G61" s="55">
        <f>F61/E61</f>
        <v>2.0712957321361456</v>
      </c>
      <c r="H61" s="99">
        <v>729</v>
      </c>
      <c r="J61" s="41">
        <f>$J$10*$J$11*G61*$J$15</f>
        <v>6.2643035506675231</v>
      </c>
      <c r="K61" s="42">
        <f>$J$7*(1+$J$6*(J61-$J$16)/$J$16)</f>
        <v>108.7854805122191</v>
      </c>
      <c r="L61" s="43">
        <f>$J$13/K61*$J$8/1000000</f>
        <v>242.19312134168146</v>
      </c>
      <c r="M61" s="43">
        <f>L61-$M$17</f>
        <v>-0.9061135901233115</v>
      </c>
      <c r="N61" s="30">
        <f>IF(ABS(M61)&gt;$M$15,M61+$M$15*SIGN(M61)*INT(M61/$M$15),M61)</f>
        <v>-0.9061135901233115</v>
      </c>
      <c r="O61" s="46"/>
      <c r="P61" s="8">
        <f t="shared" si="8"/>
        <v>0.96631472210103364</v>
      </c>
      <c r="Q61" s="111">
        <f t="shared" si="2"/>
        <v>1.3905984834412835</v>
      </c>
      <c r="R61" s="119">
        <f t="shared" si="3"/>
        <v>0.69489125265670915</v>
      </c>
      <c r="S61" s="53">
        <f t="shared" si="9"/>
        <v>-2.61836143706422E-5</v>
      </c>
      <c r="T61" s="16">
        <f t="shared" si="10"/>
        <v>-3.7412854052326092E-3</v>
      </c>
      <c r="U61" s="135">
        <f t="shared" si="11"/>
        <v>-0.91586883629482707</v>
      </c>
      <c r="V61" s="30">
        <f t="shared" si="7"/>
        <v>-0.91586883629482707</v>
      </c>
    </row>
    <row r="62" spans="1:22" x14ac:dyDescent="0.2">
      <c r="A62" s="5"/>
      <c r="B62" s="14">
        <v>29</v>
      </c>
      <c r="C62" s="2" t="s">
        <v>76</v>
      </c>
      <c r="D62" s="14">
        <v>14</v>
      </c>
      <c r="E62" s="14">
        <v>14</v>
      </c>
      <c r="F62" s="92">
        <v>28.968802434407468</v>
      </c>
      <c r="G62" s="55">
        <f>F62/E62</f>
        <v>2.0692001738862476</v>
      </c>
      <c r="H62" s="99">
        <v>32.6</v>
      </c>
      <c r="J62" s="41">
        <f>$J$10*$J$11*G62*$J$15</f>
        <v>6.2579658690019846</v>
      </c>
      <c r="K62" s="42">
        <f>$J$7*(1+$J$6*(J62-$J$16)/$J$16)</f>
        <v>108.72876526527668</v>
      </c>
      <c r="L62" s="43">
        <f>$J$13/K62*$J$8/1000000</f>
        <v>242.31945444820695</v>
      </c>
      <c r="M62" s="43">
        <f>L62-$M$17</f>
        <v>-0.77978048359781837</v>
      </c>
      <c r="N62" s="30">
        <f>IF(ABS(M62)&gt;$M$15,M62+$M$15*SIGN(M62)*INT(M62/$M$15),M62)</f>
        <v>-0.77978048359781837</v>
      </c>
      <c r="O62" s="46"/>
      <c r="P62" s="8">
        <f t="shared" si="8"/>
        <v>0.96729334602222417</v>
      </c>
      <c r="Q62" s="111">
        <f t="shared" si="2"/>
        <v>1.391278698629024</v>
      </c>
      <c r="R62" s="119">
        <f t="shared" si="3"/>
        <v>0.69525490972829673</v>
      </c>
      <c r="S62" s="53">
        <f t="shared" si="9"/>
        <v>-1.9405963988478409E-5</v>
      </c>
      <c r="T62" s="16">
        <f t="shared" si="10"/>
        <v>-3.217985470351287E-3</v>
      </c>
      <c r="U62" s="135">
        <f t="shared" si="11"/>
        <v>-0.78700738086277511</v>
      </c>
      <c r="V62" s="30">
        <f t="shared" si="7"/>
        <v>-0.78700738086277511</v>
      </c>
    </row>
    <row r="63" spans="1:22" x14ac:dyDescent="0.2">
      <c r="B63" s="14">
        <v>58</v>
      </c>
      <c r="C63" s="2" t="s">
        <v>43</v>
      </c>
      <c r="D63" s="14">
        <v>28</v>
      </c>
      <c r="E63" s="14">
        <v>28</v>
      </c>
      <c r="F63" s="92">
        <v>57.919935975700746</v>
      </c>
      <c r="G63" s="55">
        <f>F63/E63</f>
        <v>2.0685691419893124</v>
      </c>
      <c r="H63" s="99">
        <v>1020</v>
      </c>
      <c r="J63" s="41">
        <f>$J$10*$J$11*G63*$J$15</f>
        <v>6.2560574136852356</v>
      </c>
      <c r="K63" s="42">
        <f>$J$7*(1+$J$6*(J63-$J$16)/$J$16)</f>
        <v>108.71168669928358</v>
      </c>
      <c r="L63" s="43">
        <f>$J$13/K63*$J$8/1000000</f>
        <v>242.35752274536858</v>
      </c>
      <c r="M63" s="43">
        <f>L63-$M$17</f>
        <v>-0.74171218643618886</v>
      </c>
      <c r="N63" s="30">
        <f>IF(ABS(M63)&gt;$M$15,M63+$M$15*SIGN(M63)*INT(M63/$M$15),M63)</f>
        <v>-0.74171218643618886</v>
      </c>
      <c r="O63" s="46"/>
      <c r="P63" s="8">
        <f t="shared" si="8"/>
        <v>0.96758842581561511</v>
      </c>
      <c r="Q63" s="111">
        <f t="shared" si="2"/>
        <v>1.3914838704679047</v>
      </c>
      <c r="R63" s="119">
        <f t="shared" si="3"/>
        <v>0.69536445685874249</v>
      </c>
      <c r="S63" s="53">
        <f t="shared" si="9"/>
        <v>-1.7561420148033125E-5</v>
      </c>
      <c r="T63" s="16">
        <f t="shared" si="10"/>
        <v>-3.0604050496732408E-3</v>
      </c>
      <c r="U63" s="135">
        <f t="shared" si="11"/>
        <v>-0.74825129395929968</v>
      </c>
      <c r="V63" s="30">
        <f t="shared" si="7"/>
        <v>-0.74825129395929968</v>
      </c>
    </row>
    <row r="64" spans="1:22" x14ac:dyDescent="0.2">
      <c r="A64" s="5"/>
      <c r="B64" s="14">
        <v>60</v>
      </c>
      <c r="C64" s="2" t="s">
        <v>48</v>
      </c>
      <c r="D64" s="14">
        <v>29</v>
      </c>
      <c r="E64" s="14">
        <v>29</v>
      </c>
      <c r="F64" s="92">
        <v>59.921407066923962</v>
      </c>
      <c r="G64" s="55">
        <f>F64/E64</f>
        <v>2.0662554161008262</v>
      </c>
      <c r="H64" s="99">
        <v>1380</v>
      </c>
      <c r="J64" s="41">
        <f>$J$10*$J$11*G64*$J$15</f>
        <v>6.249059918796581</v>
      </c>
      <c r="K64" s="42">
        <f>$J$7*(1+$J$6*(J64-$J$16)/$J$16)</f>
        <v>108.64906685317384</v>
      </c>
      <c r="L64" s="43">
        <f>$J$13/K64*$J$8/1000000</f>
        <v>242.49720540641124</v>
      </c>
      <c r="M64" s="43">
        <f>L64-$M$17</f>
        <v>-0.60202952539353305</v>
      </c>
      <c r="N64" s="30">
        <f>IF(ABS(M64)&gt;$M$15,M64+$M$15*SIGN(M64)*INT(M64/$M$15),M64)</f>
        <v>-0.60202952539353305</v>
      </c>
      <c r="O64" s="46"/>
      <c r="P64" s="8">
        <f t="shared" si="8"/>
        <v>0.96867189999444336</v>
      </c>
      <c r="Q64" s="111">
        <f t="shared" si="2"/>
        <v>1.3922374976414207</v>
      </c>
      <c r="R64" s="119">
        <f t="shared" si="3"/>
        <v>0.69576627668444735</v>
      </c>
      <c r="S64" s="53">
        <f t="shared" si="9"/>
        <v>-1.1579375882993265E-5</v>
      </c>
      <c r="T64" s="16">
        <f t="shared" si="10"/>
        <v>-2.4826245910118264E-3</v>
      </c>
      <c r="U64" s="135">
        <f t="shared" si="11"/>
        <v>-0.60633907611600324</v>
      </c>
      <c r="V64" s="30">
        <f t="shared" si="7"/>
        <v>-0.60633907611600324</v>
      </c>
    </row>
    <row r="65" spans="1:22" x14ac:dyDescent="0.2">
      <c r="B65" s="14">
        <v>31</v>
      </c>
      <c r="C65" s="2" t="s">
        <v>75</v>
      </c>
      <c r="D65" s="14">
        <v>15</v>
      </c>
      <c r="E65" s="14">
        <v>15</v>
      </c>
      <c r="F65" s="92">
        <v>30.965519160853123</v>
      </c>
      <c r="G65" s="55">
        <f>F65/E65</f>
        <v>2.0643679440568747</v>
      </c>
      <c r="H65" s="99">
        <v>46.9</v>
      </c>
      <c r="J65" s="41">
        <f>$J$10*$J$11*G65*$J$15</f>
        <v>6.2433515606692174</v>
      </c>
      <c r="K65" s="42">
        <f>$J$7*(1+$J$6*(J65-$J$16)/$J$16)</f>
        <v>108.59798335641356</v>
      </c>
      <c r="L65" s="43">
        <f>$J$13/K65*$J$8/1000000</f>
        <v>242.61127387088811</v>
      </c>
      <c r="M65" s="43">
        <f>L65-$M$17</f>
        <v>-0.48796106091666047</v>
      </c>
      <c r="N65" s="30">
        <f>IF(ABS(M65)&gt;$M$15,M65+$M$15*SIGN(M65)*INT(M65/$M$15),M65)</f>
        <v>-0.48796106091666047</v>
      </c>
      <c r="O65" s="46"/>
      <c r="P65" s="8">
        <f t="shared" si="8"/>
        <v>0.96955756630032863</v>
      </c>
      <c r="Q65" s="111">
        <f t="shared" si="2"/>
        <v>1.3928538596601641</v>
      </c>
      <c r="R65" s="119">
        <f t="shared" si="3"/>
        <v>0.69609425251324375</v>
      </c>
      <c r="S65" s="53">
        <f t="shared" si="9"/>
        <v>-7.6122769408871676E-6</v>
      </c>
      <c r="T65" s="16">
        <f t="shared" si="10"/>
        <v>-2.0112876583647235E-3</v>
      </c>
      <c r="U65" s="135">
        <f t="shared" si="11"/>
        <v>-0.49079302967666405</v>
      </c>
      <c r="V65" s="30">
        <f t="shared" si="7"/>
        <v>-0.49079302967666405</v>
      </c>
    </row>
    <row r="66" spans="1:22" x14ac:dyDescent="0.2">
      <c r="B66" s="14">
        <v>62</v>
      </c>
      <c r="C66" s="2" t="s">
        <v>47</v>
      </c>
      <c r="D66" s="14">
        <v>30</v>
      </c>
      <c r="E66" s="14">
        <v>30</v>
      </c>
      <c r="F66" s="92">
        <v>61.917820041345564</v>
      </c>
      <c r="G66" s="55">
        <f>F66/E66</f>
        <v>2.063927334711519</v>
      </c>
      <c r="H66" s="99">
        <v>1960</v>
      </c>
      <c r="J66" s="41">
        <f>$J$10*$J$11*G66*$J$15</f>
        <v>6.2420190079855304</v>
      </c>
      <c r="K66" s="42">
        <f>$J$7*(1+$J$6*(J66-$J$16)/$J$16)</f>
        <v>108.58605848253893</v>
      </c>
      <c r="L66" s="43">
        <f>$J$13/K66*$J$8/1000000</f>
        <v>242.63791733582187</v>
      </c>
      <c r="M66" s="43">
        <f>L66-$M$17</f>
        <v>-0.461317595982905</v>
      </c>
      <c r="N66" s="30">
        <f>IF(ABS(M66)&gt;$M$15,M66+$M$15*SIGN(M66)*INT(M66/$M$15),M66)</f>
        <v>-0.461317595982905</v>
      </c>
      <c r="O66" s="46"/>
      <c r="P66" s="8">
        <f t="shared" si="8"/>
        <v>0.96976454845390914</v>
      </c>
      <c r="Q66" s="111">
        <f t="shared" si="2"/>
        <v>1.3929979466740123</v>
      </c>
      <c r="R66" s="119">
        <f t="shared" si="3"/>
        <v>0.69617083842037597</v>
      </c>
      <c r="S66" s="53">
        <f t="shared" si="9"/>
        <v>-6.8047648762504131E-6</v>
      </c>
      <c r="T66" s="16">
        <f t="shared" si="10"/>
        <v>-1.9012592963548102E-3</v>
      </c>
      <c r="U66" s="135">
        <f t="shared" si="11"/>
        <v>-0.46384891348614316</v>
      </c>
      <c r="V66" s="30">
        <f t="shared" si="7"/>
        <v>-0.46384891348614316</v>
      </c>
    </row>
    <row r="67" spans="1:22" x14ac:dyDescent="0.2">
      <c r="A67" s="5"/>
      <c r="B67" s="14">
        <v>64</v>
      </c>
      <c r="C67" s="2" t="s">
        <v>39</v>
      </c>
      <c r="D67" s="14">
        <v>31</v>
      </c>
      <c r="E67" s="14">
        <v>31</v>
      </c>
      <c r="F67" s="92">
        <v>63.919775898965575</v>
      </c>
      <c r="G67" s="55">
        <f>F67/E67</f>
        <v>2.0619282548053413</v>
      </c>
      <c r="H67" s="99">
        <v>2970</v>
      </c>
      <c r="I67" s="14">
        <v>32.4</v>
      </c>
      <c r="J67" s="41">
        <f>$J$10*$J$11*G67*$J$15</f>
        <v>6.2359731096813693</v>
      </c>
      <c r="K67" s="42">
        <f>$J$7*(1+$J$6*(J67-$J$16)/$J$16)</f>
        <v>108.53195437422218</v>
      </c>
      <c r="L67" s="43">
        <f>$J$13/K67*$J$8/1000000</f>
        <v>242.75887441465622</v>
      </c>
      <c r="M67" s="43">
        <f>L67-$M$17</f>
        <v>-0.34036051714855375</v>
      </c>
      <c r="N67" s="30">
        <f>IF(ABS(M67)&gt;$M$15,M67+$M$15*SIGN(M67)*INT(M67/$M$15),M67)</f>
        <v>-0.34036051714855375</v>
      </c>
      <c r="O67" s="46"/>
      <c r="P67" s="8">
        <f t="shared" si="8"/>
        <v>0.97070475421423064</v>
      </c>
      <c r="Q67" s="111">
        <f t="shared" si="2"/>
        <v>1.3936526539472129</v>
      </c>
      <c r="R67" s="119">
        <f t="shared" si="3"/>
        <v>0.69651842693007049</v>
      </c>
      <c r="S67" s="53">
        <f t="shared" si="9"/>
        <v>-3.7068412179633366E-6</v>
      </c>
      <c r="T67" s="16">
        <f t="shared" si="10"/>
        <v>-1.4020518012750453E-3</v>
      </c>
      <c r="U67" s="135">
        <f t="shared" si="11"/>
        <v>-0.34173885048882285</v>
      </c>
      <c r="V67" s="30">
        <f t="shared" si="7"/>
        <v>-0.34173885048882285</v>
      </c>
    </row>
    <row r="68" spans="1:22" x14ac:dyDescent="0.2">
      <c r="B68" s="14">
        <v>33</v>
      </c>
      <c r="C68" s="2" t="s">
        <v>45</v>
      </c>
      <c r="D68" s="14">
        <v>16</v>
      </c>
      <c r="E68" s="14">
        <v>16</v>
      </c>
      <c r="F68" s="92">
        <v>32.962665770497175</v>
      </c>
      <c r="G68" s="55">
        <f>F68/E68</f>
        <v>2.0601666106560734</v>
      </c>
      <c r="H68" s="99">
        <v>64.900000000000006</v>
      </c>
      <c r="J68" s="41">
        <f>$J$10*$J$11*G68*$J$15</f>
        <v>6.2306452979507432</v>
      </c>
      <c r="K68" s="42">
        <f>$J$7*(1+$J$6*(J68-$J$16)/$J$16)</f>
        <v>108.48427634715934</v>
      </c>
      <c r="L68" s="43">
        <f>$J$13/K68*$J$8/1000000</f>
        <v>242.86556512204544</v>
      </c>
      <c r="M68" s="43">
        <f>L68-$M$17</f>
        <v>-0.23366980975933416</v>
      </c>
      <c r="N68" s="30">
        <f>IF(ABS(M68)&gt;$M$15,M68+$M$15*SIGN(M68)*INT(M68/$M$15),M68)</f>
        <v>-0.23366980975933416</v>
      </c>
      <c r="O68" s="46"/>
      <c r="P68" s="8">
        <f t="shared" si="8"/>
        <v>0.97153480181430485</v>
      </c>
      <c r="Q68" s="111">
        <f t="shared" si="2"/>
        <v>1.3942309246091054</v>
      </c>
      <c r="R68" s="119">
        <f t="shared" si="3"/>
        <v>0.69682488364450101</v>
      </c>
      <c r="S68" s="53">
        <f t="shared" si="9"/>
        <v>-1.7482622710087048E-6</v>
      </c>
      <c r="T68" s="16">
        <f t="shared" si="10"/>
        <v>-9.6213643808211414E-4</v>
      </c>
      <c r="U68" s="135">
        <f t="shared" si="11"/>
        <v>-0.23431963321831606</v>
      </c>
      <c r="V68" s="30">
        <f t="shared" si="7"/>
        <v>-0.23431963321831606</v>
      </c>
    </row>
    <row r="69" spans="1:22" x14ac:dyDescent="0.2">
      <c r="B69" s="14">
        <v>66</v>
      </c>
      <c r="C69" s="2" t="s">
        <v>36</v>
      </c>
      <c r="D69" s="14">
        <v>32</v>
      </c>
      <c r="E69" s="14">
        <v>32</v>
      </c>
      <c r="F69" s="92">
        <v>65.916233639783968</v>
      </c>
      <c r="G69" s="55">
        <f>F69/E69</f>
        <v>2.059882301243249</v>
      </c>
      <c r="H69" s="99">
        <v>4270</v>
      </c>
      <c r="J69" s="41">
        <f>$J$10*$J$11*G69*$J$15</f>
        <v>6.2297854494816844</v>
      </c>
      <c r="K69" s="42">
        <f>$J$7*(1+$J$6*(J69-$J$16)/$J$16)</f>
        <v>108.47658165360585</v>
      </c>
      <c r="L69" s="43">
        <f>$J$13/K69*$J$8/1000000</f>
        <v>242.88279258321563</v>
      </c>
      <c r="M69" s="43">
        <f>L69-$M$17</f>
        <v>-0.21644234858914047</v>
      </c>
      <c r="N69" s="30">
        <f>IF(ABS(M69)&gt;$M$15,M69+$M$15*SIGN(M69)*INT(M69/$M$15),M69)</f>
        <v>-0.21644234858914047</v>
      </c>
      <c r="O69" s="46"/>
      <c r="P69" s="8">
        <f t="shared" si="8"/>
        <v>0.97166889515006272</v>
      </c>
      <c r="Q69" s="111">
        <f t="shared" si="2"/>
        <v>1.3943243674992356</v>
      </c>
      <c r="R69" s="119">
        <f t="shared" si="3"/>
        <v>0.69687435563704681</v>
      </c>
      <c r="S69" s="53">
        <f t="shared" si="9"/>
        <v>-1.5001351247236912E-6</v>
      </c>
      <c r="T69" s="16">
        <f t="shared" si="10"/>
        <v>-8.9113908106540536E-4</v>
      </c>
      <c r="U69" s="135">
        <f t="shared" si="11"/>
        <v>-0.21699991052594625</v>
      </c>
      <c r="V69" s="30">
        <f t="shared" si="7"/>
        <v>-0.21699991052594625</v>
      </c>
    </row>
    <row r="70" spans="1:22" x14ac:dyDescent="0.2">
      <c r="A70" s="5"/>
      <c r="B70" s="14">
        <v>68</v>
      </c>
      <c r="C70" s="2" t="s">
        <v>37</v>
      </c>
      <c r="D70" s="14">
        <v>33</v>
      </c>
      <c r="E70" s="14">
        <v>33</v>
      </c>
      <c r="F70" s="92">
        <v>67.918601263800767</v>
      </c>
      <c r="G70" s="55">
        <f>F70/E70</f>
        <v>2.0581394322363868</v>
      </c>
      <c r="H70" s="99">
        <v>5890</v>
      </c>
      <c r="J70" s="41">
        <f>$J$10*$J$11*G70*$J$15</f>
        <v>6.2245144201744527</v>
      </c>
      <c r="K70" s="42">
        <f>$J$7*(1+$J$6*(J70-$J$16)/$J$16)</f>
        <v>108.42941176648041</v>
      </c>
      <c r="L70" s="43">
        <f>$J$13/K70*$J$8/1000000</f>
        <v>242.98845352635098</v>
      </c>
      <c r="M70" s="43">
        <f>L70-$M$17</f>
        <v>-0.11078140545379256</v>
      </c>
      <c r="N70" s="30">
        <f>IF(ABS(M70)&gt;$M$15,M70+$M$15*SIGN(M70)*INT(M70/$M$15),M70)</f>
        <v>-0.11078140545379256</v>
      </c>
      <c r="O70" s="46"/>
      <c r="P70" s="8">
        <f t="shared" si="8"/>
        <v>0.97249172161933106</v>
      </c>
      <c r="Q70" s="111">
        <f t="shared" si="2"/>
        <v>1.3948978989940914</v>
      </c>
      <c r="R70" s="119">
        <f t="shared" si="3"/>
        <v>0.69717770907865595</v>
      </c>
      <c r="S70" s="53">
        <f t="shared" si="9"/>
        <v>-3.9323556105614869E-7</v>
      </c>
      <c r="T70" s="16">
        <f t="shared" si="10"/>
        <v>-4.5591222070875189E-4</v>
      </c>
      <c r="U70" s="135">
        <f t="shared" si="11"/>
        <v>-0.11092750731439843</v>
      </c>
      <c r="V70" s="30">
        <f t="shared" si="7"/>
        <v>-0.11092750731439843</v>
      </c>
    </row>
    <row r="71" spans="1:22" x14ac:dyDescent="0.2">
      <c r="A71" s="25"/>
      <c r="B71" s="14">
        <v>35</v>
      </c>
      <c r="C71" s="2" t="s">
        <v>74</v>
      </c>
      <c r="D71" s="14">
        <v>17</v>
      </c>
      <c r="E71" s="14">
        <v>17</v>
      </c>
      <c r="F71" s="92">
        <v>34.959509263339626</v>
      </c>
      <c r="G71" s="55">
        <f>F71/E71</f>
        <v>2.0564417213729191</v>
      </c>
      <c r="H71" s="99">
        <v>86.6</v>
      </c>
      <c r="J71" s="41">
        <f>$J$10*$J$11*G71*$J$15</f>
        <v>6.219379964468768</v>
      </c>
      <c r="K71" s="42">
        <f>$J$7*(1+$J$6*(J71-$J$16)/$J$16)</f>
        <v>108.38346406215717</v>
      </c>
      <c r="L71" s="43">
        <f>$J$13/K71*$J$8/1000000</f>
        <v>243.09146519619563</v>
      </c>
      <c r="M71" s="43">
        <f>L71-$M$17</f>
        <v>-7.7697356091448455E-3</v>
      </c>
      <c r="N71" s="30">
        <f>IF(ABS(M71)&gt;$M$15,M71+$M$15*SIGN(M71)*INT(M71/$M$15),M71)</f>
        <v>-7.7697356091448455E-3</v>
      </c>
      <c r="O71" s="46"/>
      <c r="P71" s="8">
        <f t="shared" si="8"/>
        <v>0.97329456944296089</v>
      </c>
      <c r="Q71" s="111">
        <f t="shared" si="2"/>
        <v>1.3954577452962016</v>
      </c>
      <c r="R71" s="119">
        <f t="shared" si="3"/>
        <v>0.6974733364186303</v>
      </c>
      <c r="S71" s="53">
        <f t="shared" si="9"/>
        <v>-1.9355208998482722E-9</v>
      </c>
      <c r="T71" s="16">
        <f t="shared" si="10"/>
        <v>-3.196219004601538E-5</v>
      </c>
      <c r="U71" s="135">
        <f t="shared" si="11"/>
        <v>-7.7704544705812333E-3</v>
      </c>
      <c r="V71" s="30">
        <f t="shared" si="7"/>
        <v>-7.7704544705812333E-3</v>
      </c>
    </row>
    <row r="72" spans="1:22" x14ac:dyDescent="0.2">
      <c r="B72" s="101" t="s">
        <v>87</v>
      </c>
      <c r="C72" s="102" t="s">
        <v>42</v>
      </c>
      <c r="D72" s="103">
        <v>34</v>
      </c>
      <c r="E72" s="103">
        <v>34</v>
      </c>
      <c r="F72" s="109">
        <f>F73+0.7/931.49</f>
        <v>69.915418255197238</v>
      </c>
      <c r="G72" s="104">
        <f>F72/E72</f>
        <v>2.0563358310352129</v>
      </c>
      <c r="H72" s="112" t="s">
        <v>88</v>
      </c>
      <c r="I72" s="110" t="s">
        <v>88</v>
      </c>
      <c r="J72" s="105">
        <f>$J$10*$J$11*G72*$J$15</f>
        <v>6.2190597160328807</v>
      </c>
      <c r="K72" s="106">
        <f>$J$7*(1+$J$6*(J72-$J$16)/$J$16)</f>
        <v>108.38059819257225</v>
      </c>
      <c r="L72" s="107">
        <f>$J$13/K72*$J$8/1000000</f>
        <v>243.0978931772926</v>
      </c>
      <c r="M72" s="107">
        <f>L72-$M$17</f>
        <v>-1.3417545121683361E-3</v>
      </c>
      <c r="N72" s="108">
        <f>IF(ABS(M72)&gt;$M$15,M72-$M$15*SIGN(M72)*INT(M72/$M$15),M72)</f>
        <v>-1.3417545121683361E-3</v>
      </c>
      <c r="O72" s="116"/>
      <c r="P72" s="120">
        <f t="shared" si="8"/>
        <v>0.97334468892689452</v>
      </c>
      <c r="Q72" s="121">
        <f t="shared" si="2"/>
        <v>1.395492702762072</v>
      </c>
      <c r="R72" s="122">
        <f t="shared" si="3"/>
        <v>0.69749177978528432</v>
      </c>
      <c r="S72" s="123">
        <f t="shared" si="9"/>
        <v>-5.7722898942463923E-11</v>
      </c>
      <c r="T72" s="124">
        <f t="shared" si="10"/>
        <v>-5.5194000024100375E-6</v>
      </c>
      <c r="U72" s="135">
        <f t="shared" si="11"/>
        <v>-1.3417759502610525E-3</v>
      </c>
      <c r="V72" s="108">
        <f t="shared" si="7"/>
        <v>-1.3417759502610525E-3</v>
      </c>
    </row>
    <row r="73" spans="1:22" x14ac:dyDescent="0.2">
      <c r="A73" s="5"/>
      <c r="B73" s="93">
        <v>70</v>
      </c>
      <c r="C73" s="94" t="s">
        <v>42</v>
      </c>
      <c r="D73" s="93">
        <v>34</v>
      </c>
      <c r="E73" s="93">
        <v>34</v>
      </c>
      <c r="F73" s="95">
        <v>69.914666771015973</v>
      </c>
      <c r="G73" s="75">
        <f>F73/E73</f>
        <v>2.0563137285592932</v>
      </c>
      <c r="H73" s="113">
        <v>6710</v>
      </c>
      <c r="I73" s="98">
        <f>41*60</f>
        <v>2460</v>
      </c>
      <c r="J73" s="96">
        <f>$J$10*$J$11*G73*$J$15</f>
        <v>6.2189928706200153</v>
      </c>
      <c r="K73" s="80">
        <f>$J$7*(1+$J$6*(J73-$J$16)/$J$16)</f>
        <v>108.38</v>
      </c>
      <c r="L73" s="97">
        <f>$J$13/K73*$J$8/1000000</f>
        <v>243.09923493180477</v>
      </c>
      <c r="M73" s="97">
        <f>L73-$M$17</f>
        <v>0</v>
      </c>
      <c r="N73" s="82">
        <f>IF(ABS(M73)&gt;$M$15,M73-$M$15*SIGN(M73)*INT(M73/$M$15),M73)</f>
        <v>0</v>
      </c>
      <c r="O73" s="83"/>
      <c r="P73" s="125">
        <f t="shared" si="8"/>
        <v>0.97335515101118153</v>
      </c>
      <c r="Q73" s="126">
        <f t="shared" si="2"/>
        <v>1.3955</v>
      </c>
      <c r="R73" s="127">
        <f t="shared" si="3"/>
        <v>0.69749562953148081</v>
      </c>
      <c r="S73" s="74">
        <f t="shared" si="9"/>
        <v>0</v>
      </c>
      <c r="T73" s="128">
        <f t="shared" si="10"/>
        <v>0</v>
      </c>
      <c r="U73" s="135">
        <f t="shared" si="11"/>
        <v>0</v>
      </c>
      <c r="V73" s="82">
        <f t="shared" si="7"/>
        <v>0</v>
      </c>
    </row>
    <row r="74" spans="1:22" x14ac:dyDescent="0.2">
      <c r="B74" s="14">
        <v>72</v>
      </c>
      <c r="C74" s="2" t="s">
        <v>57</v>
      </c>
      <c r="D74" s="14">
        <v>35</v>
      </c>
      <c r="E74" s="14">
        <v>35</v>
      </c>
      <c r="F74" s="92">
        <v>71.917367161429567</v>
      </c>
      <c r="G74" s="55">
        <f>F74/E74</f>
        <v>2.0547819188979877</v>
      </c>
      <c r="H74" s="99">
        <v>5490</v>
      </c>
      <c r="I74" s="14">
        <v>79</v>
      </c>
      <c r="J74" s="41">
        <f>$J$10*$J$11*G74*$J$15</f>
        <v>6.2143601566374658</v>
      </c>
      <c r="K74" s="42">
        <f>$J$7*(1+$J$6*(J74-$J$16)/$J$16)</f>
        <v>108.33854232960883</v>
      </c>
      <c r="L74" s="43">
        <f>$J$13/K74*$J$8/1000000</f>
        <v>243.19226117839656</v>
      </c>
      <c r="M74" s="43">
        <f>L74-$M$17</f>
        <v>9.3026246591790596E-2</v>
      </c>
      <c r="N74" s="30">
        <f>IF(ABS(M74)&gt;$M$15,M74-$M$15*SIGN(M74)*INT(M74/$M$15),M74)</f>
        <v>9.3026246591790596E-2</v>
      </c>
      <c r="O74" s="46"/>
      <c r="P74" s="8">
        <f t="shared" si="8"/>
        <v>0.97408077294238871</v>
      </c>
      <c r="Q74" s="111">
        <f t="shared" si="2"/>
        <v>1.3960062149632577</v>
      </c>
      <c r="R74" s="119">
        <f t="shared" si="3"/>
        <v>0.69776249023936188</v>
      </c>
      <c r="S74" s="53">
        <f t="shared" si="9"/>
        <v>-2.7762402019850523E-7</v>
      </c>
      <c r="T74" s="16">
        <f t="shared" si="10"/>
        <v>3.8252140977267568E-4</v>
      </c>
      <c r="U74" s="135">
        <f t="shared" si="11"/>
        <v>9.2923171873863897E-2</v>
      </c>
      <c r="V74" s="30">
        <f t="shared" si="7"/>
        <v>9.2923171873863897E-2</v>
      </c>
    </row>
    <row r="75" spans="1:22" x14ac:dyDescent="0.2">
      <c r="B75" s="14">
        <v>37</v>
      </c>
      <c r="C75" s="2" t="s">
        <v>73</v>
      </c>
      <c r="D75" s="14">
        <v>18</v>
      </c>
      <c r="E75" s="14">
        <v>18</v>
      </c>
      <c r="F75" s="92">
        <v>36.956882639380467</v>
      </c>
      <c r="G75" s="55">
        <f>F75/E75</f>
        <v>2.0531601466322482</v>
      </c>
      <c r="H75" s="99">
        <v>116</v>
      </c>
      <c r="J75" s="41">
        <f>$J$10*$J$11*G75*$J$15</f>
        <v>6.2094553651076874</v>
      </c>
      <c r="K75" s="42">
        <f>$J$7*(1+$J$6*(J75-$J$16)/$J$16)</f>
        <v>108.29464986585113</v>
      </c>
      <c r="L75" s="43">
        <f>$J$13/K75*$J$8/1000000</f>
        <v>243.29082844393687</v>
      </c>
      <c r="M75" s="43">
        <f>L75-$M$17</f>
        <v>0.1915935121321013</v>
      </c>
      <c r="N75" s="30">
        <f>IF(ABS(M75)&gt;$M$15,M75-$M$15*SIGN(M75)*INT(M75/$M$15),M75)</f>
        <v>0.1915935121321013</v>
      </c>
      <c r="O75" s="46"/>
      <c r="P75" s="8">
        <f t="shared" si="8"/>
        <v>0.97485019036203768</v>
      </c>
      <c r="Q75" s="111">
        <f t="shared" si="2"/>
        <v>1.3965431943369675</v>
      </c>
      <c r="R75" s="119">
        <f t="shared" si="3"/>
        <v>0.69804514054065059</v>
      </c>
      <c r="S75" s="53">
        <f t="shared" si="9"/>
        <v>-1.1783181815667157E-6</v>
      </c>
      <c r="T75" s="16">
        <f t="shared" si="10"/>
        <v>7.8750815785999983E-4</v>
      </c>
      <c r="U75" s="135">
        <f t="shared" si="11"/>
        <v>0.19115618242987581</v>
      </c>
      <c r="V75" s="30">
        <f t="shared" si="7"/>
        <v>0.19115618242987581</v>
      </c>
    </row>
    <row r="76" spans="1:22" x14ac:dyDescent="0.2">
      <c r="A76" s="5"/>
      <c r="B76" s="14">
        <v>74</v>
      </c>
      <c r="C76" s="2" t="s">
        <v>68</v>
      </c>
      <c r="D76" s="14">
        <v>36</v>
      </c>
      <c r="E76" s="14">
        <v>36</v>
      </c>
      <c r="F76" s="92">
        <v>73.913259435041539</v>
      </c>
      <c r="G76" s="55">
        <f>F76/E76</f>
        <v>2.0531460954178207</v>
      </c>
      <c r="H76" s="99">
        <v>2230</v>
      </c>
      <c r="J76" s="41">
        <f>$J$10*$J$11*G76*$J$15</f>
        <v>6.2094128694509525</v>
      </c>
      <c r="K76" s="42">
        <f>$J$7*(1+$J$6*(J76-$J$16)/$J$16)</f>
        <v>108.29426957668659</v>
      </c>
      <c r="L76" s="43">
        <f>$J$13/K76*$J$8/1000000</f>
        <v>243.2916827907666</v>
      </c>
      <c r="M76" s="43">
        <f>L76-$M$17</f>
        <v>0.19244785896182748</v>
      </c>
      <c r="N76" s="30">
        <f>IF(ABS(M76)&gt;$M$15,M76-$M$15*SIGN(M76)*INT(M76/$M$15),M76)</f>
        <v>0.19244785896182748</v>
      </c>
      <c r="O76" s="46"/>
      <c r="P76" s="8">
        <f t="shared" si="8"/>
        <v>0.97485686199105137</v>
      </c>
      <c r="Q76" s="111">
        <f t="shared" si="2"/>
        <v>1.3965478514433509</v>
      </c>
      <c r="R76" s="119">
        <f t="shared" si="3"/>
        <v>0.69804758997947958</v>
      </c>
      <c r="S76" s="53">
        <f t="shared" si="9"/>
        <v>-1.1888562882049777E-6</v>
      </c>
      <c r="T76" s="16">
        <f t="shared" si="10"/>
        <v>7.9101700787417688E-4</v>
      </c>
      <c r="U76" s="135">
        <f t="shared" si="11"/>
        <v>0.19200661937815128</v>
      </c>
      <c r="V76" s="30">
        <f t="shared" si="7"/>
        <v>0.19200661937815128</v>
      </c>
    </row>
    <row r="77" spans="1:22" x14ac:dyDescent="0.2">
      <c r="A77" s="5"/>
      <c r="B77" s="14">
        <v>76</v>
      </c>
      <c r="C77" s="2" t="s">
        <v>67</v>
      </c>
      <c r="D77" s="14">
        <v>37</v>
      </c>
      <c r="E77" s="14">
        <v>37</v>
      </c>
      <c r="F77" s="92">
        <v>75.914694591851941</v>
      </c>
      <c r="G77" s="55">
        <f>F77/E77</f>
        <v>2.0517485024824849</v>
      </c>
      <c r="H77" s="99">
        <v>164</v>
      </c>
      <c r="J77" s="41">
        <f>$J$10*$J$11*G77*$J$15</f>
        <v>6.2051860725472663</v>
      </c>
      <c r="K77" s="42">
        <f>$J$7*(1+$J$6*(J77-$J$16)/$J$16)</f>
        <v>108.25644441555998</v>
      </c>
      <c r="L77" s="43">
        <f>$J$13/K77*$J$8/1000000</f>
        <v>243.37668971254394</v>
      </c>
      <c r="M77" s="43">
        <f>L77-$M$17</f>
        <v>0.27745478073916274</v>
      </c>
      <c r="N77" s="30">
        <f>IF(ABS(M77)&gt;$M$15,M77-$M$15*SIGN(M77)*INT(M77/$M$15),M77)</f>
        <v>0.27745478073916274</v>
      </c>
      <c r="O77" s="46"/>
      <c r="P77" s="8">
        <f t="shared" si="8"/>
        <v>0.97552090685894521</v>
      </c>
      <c r="Q77" s="111">
        <f t="shared" si="2"/>
        <v>1.397011467282534</v>
      </c>
      <c r="R77" s="119">
        <f t="shared" si="3"/>
        <v>0.69829126653951368</v>
      </c>
      <c r="S77" s="53">
        <f t="shared" si="9"/>
        <v>-2.4723361509296768E-6</v>
      </c>
      <c r="T77" s="16">
        <f t="shared" si="10"/>
        <v>1.1400220007382271E-3</v>
      </c>
      <c r="U77" s="135">
        <f t="shared" si="11"/>
        <v>0.27653745315810313</v>
      </c>
      <c r="V77" s="30">
        <f t="shared" si="7"/>
        <v>0.27653745315810313</v>
      </c>
    </row>
    <row r="78" spans="1:22" x14ac:dyDescent="0.2">
      <c r="A78" s="5"/>
      <c r="B78" s="14">
        <v>39</v>
      </c>
      <c r="C78" s="2" t="s">
        <v>72</v>
      </c>
      <c r="D78" s="14">
        <v>19</v>
      </c>
      <c r="E78" s="14">
        <v>19</v>
      </c>
      <c r="F78" s="92">
        <v>38.953261898619715</v>
      </c>
      <c r="G78" s="55">
        <f>F78/E78</f>
        <v>2.050171678874722</v>
      </c>
      <c r="H78" s="99">
        <v>145</v>
      </c>
      <c r="J78" s="41">
        <f>$J$10*$J$11*G78*$J$15</f>
        <v>6.2004172210638044</v>
      </c>
      <c r="K78" s="42">
        <f>$J$7*(1+$J$6*(J78-$J$16)/$J$16)</f>
        <v>108.21376846498535</v>
      </c>
      <c r="L78" s="43">
        <f>$J$13/K78*$J$8/1000000</f>
        <v>243.47266947305425</v>
      </c>
      <c r="M78" s="43">
        <f>L78-$M$17</f>
        <v>0.37343454124948039</v>
      </c>
      <c r="N78" s="30">
        <f>IF(ABS(M78)&gt;$M$15,M78-$M$15*SIGN(M78)*INT(M78/$M$15),M78)</f>
        <v>0.37343454124948039</v>
      </c>
      <c r="O78" s="46"/>
      <c r="P78" s="8">
        <f t="shared" si="8"/>
        <v>0.97627119738907564</v>
      </c>
      <c r="Q78" s="111">
        <f t="shared" si="2"/>
        <v>1.3975354918038754</v>
      </c>
      <c r="R78" s="119">
        <f t="shared" si="3"/>
        <v>0.69856629982895768</v>
      </c>
      <c r="S78" s="53">
        <f t="shared" si="9"/>
        <v>-4.4812626061884012E-6</v>
      </c>
      <c r="T78" s="16">
        <f t="shared" si="10"/>
        <v>1.5337842315431907E-3</v>
      </c>
      <c r="U78" s="135">
        <f t="shared" si="11"/>
        <v>0.37177238172752286</v>
      </c>
      <c r="V78" s="30">
        <f t="shared" si="7"/>
        <v>0.37177238172752286</v>
      </c>
    </row>
    <row r="79" spans="1:22" x14ac:dyDescent="0.2">
      <c r="A79" s="5"/>
      <c r="B79" s="14">
        <v>41</v>
      </c>
      <c r="C79" s="2" t="s">
        <v>44</v>
      </c>
      <c r="D79" s="14">
        <v>20</v>
      </c>
      <c r="E79" s="14">
        <v>20</v>
      </c>
      <c r="F79" s="92">
        <v>40.951283041057344</v>
      </c>
      <c r="G79" s="55">
        <f>F79/E79</f>
        <v>2.0475641520528671</v>
      </c>
      <c r="H79" s="99">
        <v>171</v>
      </c>
      <c r="J79" s="41">
        <f>$J$10*$J$11*G79*$J$15</f>
        <v>6.1925311721161913</v>
      </c>
      <c r="K79" s="42">
        <f>$J$7*(1+$J$6*(J79-$J$16)/$J$16)</f>
        <v>108.14319704201596</v>
      </c>
      <c r="L79" s="43">
        <f>$J$13/K79*$J$8/1000000</f>
        <v>243.63155337152264</v>
      </c>
      <c r="M79" s="43">
        <f>L79-$M$17</f>
        <v>0.5323184397178693</v>
      </c>
      <c r="N79" s="30">
        <f>IF(ABS(M79)&gt;$M$15,M79-$M$15*SIGN(M79)*INT(M79/$M$15),M79)</f>
        <v>0.5323184397178693</v>
      </c>
      <c r="O79" s="46"/>
      <c r="P79" s="8">
        <f t="shared" si="8"/>
        <v>0.97751445676634308</v>
      </c>
      <c r="Q79" s="111">
        <f t="shared" si="2"/>
        <v>1.3984042738733313</v>
      </c>
      <c r="R79" s="119">
        <f t="shared" si="3"/>
        <v>0.69902135958066103</v>
      </c>
      <c r="S79" s="53">
        <f t="shared" si="9"/>
        <v>-9.114348226219315E-6</v>
      </c>
      <c r="T79" s="16">
        <f t="shared" si="10"/>
        <v>2.1849322567265559E-3</v>
      </c>
      <c r="U79" s="135">
        <f t="shared" si="11"/>
        <v>0.52893966890735145</v>
      </c>
      <c r="V79" s="30">
        <f t="shared" si="7"/>
        <v>0.52893966890735145</v>
      </c>
    </row>
    <row r="80" spans="1:22" x14ac:dyDescent="0.2">
      <c r="B80" s="14">
        <v>43</v>
      </c>
      <c r="C80" s="2" t="s">
        <v>71</v>
      </c>
      <c r="D80" s="14">
        <v>21</v>
      </c>
      <c r="E80" s="14">
        <v>21</v>
      </c>
      <c r="F80" s="92">
        <v>42.949604066693389</v>
      </c>
      <c r="G80" s="55">
        <f>F80/E80</f>
        <v>2.0452192412711137</v>
      </c>
      <c r="H80" s="99">
        <v>196</v>
      </c>
      <c r="J80" s="41">
        <f>$J$10*$J$11*G80*$J$15</f>
        <v>6.1854393634921339</v>
      </c>
      <c r="K80" s="42">
        <f>$J$7*(1+$J$6*(J80-$J$16)/$J$16)</f>
        <v>108.07973319220334</v>
      </c>
      <c r="L80" s="43">
        <f>$J$13/K80*$J$8/1000000</f>
        <v>243.77461253586469</v>
      </c>
      <c r="M80" s="43">
        <f>L80-$M$17</f>
        <v>0.67537760405991776</v>
      </c>
      <c r="N80" s="30">
        <f>IF(ABS(M80)&gt;$M$15,M80-$M$15*SIGN(M80)*INT(M80/$M$15),M80)</f>
        <v>0.67537760405991776</v>
      </c>
      <c r="O80" s="46"/>
      <c r="P80" s="8">
        <f t="shared" si="8"/>
        <v>0.97863520907628465</v>
      </c>
      <c r="Q80" s="111">
        <f t="shared" si="2"/>
        <v>1.3991879332111836</v>
      </c>
      <c r="R80" s="119">
        <f t="shared" si="3"/>
        <v>0.6994308526019688</v>
      </c>
      <c r="S80" s="53">
        <f t="shared" si="9"/>
        <v>-1.4684062607811078E-5</v>
      </c>
      <c r="T80" s="16">
        <f t="shared" si="10"/>
        <v>2.7705001642059873E-3</v>
      </c>
      <c r="U80" s="135">
        <f t="shared" si="11"/>
        <v>0.66993678591126549</v>
      </c>
      <c r="V80" s="30">
        <f t="shared" si="7"/>
        <v>0.66993678591126549</v>
      </c>
    </row>
    <row r="81" spans="1:22" x14ac:dyDescent="0.2">
      <c r="B81" s="14">
        <v>45</v>
      </c>
      <c r="C81" s="2" t="s">
        <v>70</v>
      </c>
      <c r="D81" s="14">
        <v>22</v>
      </c>
      <c r="E81" s="14">
        <v>22</v>
      </c>
      <c r="F81" s="92">
        <v>44.946027975527819</v>
      </c>
      <c r="G81" s="55">
        <f>F81/E81</f>
        <v>2.0430012716149011</v>
      </c>
      <c r="H81" s="99">
        <v>235</v>
      </c>
      <c r="J81" s="41">
        <f>$J$10*$J$11*G81*$J$15</f>
        <v>6.1787314680539698</v>
      </c>
      <c r="K81" s="42">
        <f>$J$7*(1+$J$6*(J81-$J$16)/$J$16)</f>
        <v>108.01970494113037</v>
      </c>
      <c r="L81" s="43">
        <f>$J$13/K81*$J$8/1000000</f>
        <v>243.91008192688454</v>
      </c>
      <c r="M81" s="43">
        <f>L81-$M$17</f>
        <v>0.8108469950797712</v>
      </c>
      <c r="N81" s="30">
        <f>IF(ABS(M81)&gt;$M$15,M81-$M$15*SIGN(M81)*INT(M81/$M$15),M81)</f>
        <v>0.8108469950797712</v>
      </c>
      <c r="O81" s="46"/>
      <c r="P81" s="8">
        <f t="shared" si="8"/>
        <v>0.97969765736175074</v>
      </c>
      <c r="Q81" s="111">
        <f t="shared" si="2"/>
        <v>1.3999312482547499</v>
      </c>
      <c r="R81" s="119">
        <f t="shared" si="3"/>
        <v>0.69981840792760996</v>
      </c>
      <c r="S81" s="53">
        <f t="shared" si="9"/>
        <v>-2.1182709130046033E-5</v>
      </c>
      <c r="T81" s="16">
        <f t="shared" si="10"/>
        <v>3.3243685077470378E-3</v>
      </c>
      <c r="U81" s="135">
        <f t="shared" si="11"/>
        <v>0.80300194048139328</v>
      </c>
      <c r="V81" s="30">
        <f t="shared" si="7"/>
        <v>0.80300194048139328</v>
      </c>
    </row>
    <row r="82" spans="1:22" x14ac:dyDescent="0.2">
      <c r="B82" s="14">
        <v>47</v>
      </c>
      <c r="C82" s="2" t="s">
        <v>69</v>
      </c>
      <c r="D82" s="14">
        <v>23</v>
      </c>
      <c r="E82" s="14">
        <v>23</v>
      </c>
      <c r="F82" s="92">
        <v>46.94225976756065</v>
      </c>
      <c r="G82" s="55">
        <f>F82/E82</f>
        <v>2.0409678159808977</v>
      </c>
      <c r="H82" s="99">
        <v>256</v>
      </c>
      <c r="J82" s="41">
        <f>$J$10*$J$11*G82*$J$15</f>
        <v>6.1725816058442531</v>
      </c>
      <c r="K82" s="42">
        <f>$J$7*(1+$J$6*(J82-$J$16)/$J$16)</f>
        <v>107.96467047075255</v>
      </c>
      <c r="L82" s="43">
        <f>$J$13/K82*$J$8/1000000</f>
        <v>244.03441391548898</v>
      </c>
      <c r="M82" s="43">
        <f>L82-$M$17</f>
        <v>0.93517898368421015</v>
      </c>
      <c r="N82" s="30">
        <f>IF(ABS(M82)&gt;$M$15,M82-$M$15*SIGN(M82)*INT(M82/$M$15),M82)</f>
        <v>0.93517898368421015</v>
      </c>
      <c r="O82" s="46"/>
      <c r="P82" s="8">
        <f t="shared" si="8"/>
        <v>0.98067374904991123</v>
      </c>
      <c r="Q82" s="111">
        <f t="shared" si="2"/>
        <v>1.4006145087337944</v>
      </c>
      <c r="R82" s="119">
        <f t="shared" si="3"/>
        <v>0.70017391861553346</v>
      </c>
      <c r="S82" s="53">
        <f t="shared" si="9"/>
        <v>-2.8197795496072109E-5</v>
      </c>
      <c r="T82" s="16">
        <f t="shared" si="10"/>
        <v>3.8321602624786203E-3</v>
      </c>
      <c r="U82" s="135">
        <f t="shared" si="11"/>
        <v>0.92474036543275817</v>
      </c>
      <c r="V82" s="30">
        <f t="shared" si="7"/>
        <v>0.92474036543275817</v>
      </c>
    </row>
    <row r="83" spans="1:22" x14ac:dyDescent="0.2">
      <c r="B83" s="14">
        <v>49</v>
      </c>
      <c r="C83" s="2" t="s">
        <v>46</v>
      </c>
      <c r="D83" s="14">
        <v>24</v>
      </c>
      <c r="E83" s="14">
        <v>24</v>
      </c>
      <c r="F83" s="92">
        <v>48.938135442791868</v>
      </c>
      <c r="G83" s="55">
        <f>F83/E83</f>
        <v>2.0390889767829945</v>
      </c>
      <c r="H83" s="99">
        <v>268</v>
      </c>
      <c r="I83">
        <f>42*60</f>
        <v>2520</v>
      </c>
      <c r="J83" s="41">
        <f>$J$10*$J$11*G83*$J$15</f>
        <v>6.1668993563827428</v>
      </c>
      <c r="K83" s="42">
        <f>$J$7*(1+$J$6*(J83-$J$16)/$J$16)</f>
        <v>107.91382061769818</v>
      </c>
      <c r="L83" s="43">
        <f>$J$13/K83*$J$8/1000000</f>
        <v>244.14940487787717</v>
      </c>
      <c r="M83" s="43">
        <f>L83-$M$17</f>
        <v>1.0501699460724012</v>
      </c>
      <c r="N83" s="30">
        <f>IF(ABS(M83)&gt;$M$15,M83-$M$15*SIGN(M83)*INT(M83/$M$15),M83)</f>
        <v>1.0501699460724012</v>
      </c>
      <c r="O83" s="46"/>
      <c r="P83" s="8">
        <f t="shared" si="8"/>
        <v>0.98157735271853419</v>
      </c>
      <c r="Q83" s="111">
        <f t="shared" si="2"/>
        <v>1.4012473369715732</v>
      </c>
      <c r="R83" s="119">
        <f t="shared" si="3"/>
        <v>0.70050256426531721</v>
      </c>
      <c r="S83" s="53">
        <f t="shared" si="9"/>
        <v>-3.5583013352260529E-5</v>
      </c>
      <c r="T83" s="16">
        <f t="shared" si="10"/>
        <v>4.3013414126389761E-3</v>
      </c>
      <c r="U83" s="135">
        <f t="shared" si="11"/>
        <v>1.0370026032705206</v>
      </c>
      <c r="V83" s="30">
        <f t="shared" si="7"/>
        <v>1.0370026032705206</v>
      </c>
    </row>
    <row r="84" spans="1:22" x14ac:dyDescent="0.2">
      <c r="B84" s="14">
        <v>51</v>
      </c>
      <c r="C84" s="2" t="s">
        <v>60</v>
      </c>
      <c r="D84" s="14">
        <v>25</v>
      </c>
      <c r="E84" s="14">
        <v>25</v>
      </c>
      <c r="F84" s="92">
        <v>50.934459001221498</v>
      </c>
      <c r="G84" s="55">
        <f>F84/E84</f>
        <v>2.03737836004886</v>
      </c>
      <c r="H84" s="99">
        <v>277</v>
      </c>
      <c r="J84" s="41">
        <f>$J$10*$J$11*G84*$J$15</f>
        <v>6.1617258689298344</v>
      </c>
      <c r="K84" s="42">
        <f>$J$7*(1+$J$6*(J84-$J$16)/$J$16)</f>
        <v>107.86752362237246</v>
      </c>
      <c r="L84" s="43">
        <f>$J$13/K84*$J$8/1000000</f>
        <v>244.25419437778243</v>
      </c>
      <c r="M84" s="43">
        <f>L84-$M$17</f>
        <v>1.1549594459776529</v>
      </c>
      <c r="N84" s="30">
        <f>IF(ABS(M84)&gt;$M$15,M84-$M$15*SIGN(M84)*INT(M84/$M$15),M84)</f>
        <v>1.1549594459776529</v>
      </c>
      <c r="O84" s="46"/>
      <c r="P84" s="8">
        <f t="shared" si="8"/>
        <v>0.98240150137856386</v>
      </c>
      <c r="Q84" s="111">
        <f t="shared" si="2"/>
        <v>1.401824778604964</v>
      </c>
      <c r="R84" s="119">
        <f t="shared" si="3"/>
        <v>0.70080192358720306</v>
      </c>
      <c r="S84" s="53">
        <f t="shared" si="9"/>
        <v>-4.3065403847418013E-5</v>
      </c>
      <c r="T84" s="16">
        <f t="shared" si="10"/>
        <v>4.7285142796413843E-3</v>
      </c>
      <c r="U84" s="135">
        <f t="shared" si="11"/>
        <v>1.1390290370175979</v>
      </c>
      <c r="V84" s="30">
        <f t="shared" si="7"/>
        <v>1.1390290370175979</v>
      </c>
    </row>
    <row r="85" spans="1:22" x14ac:dyDescent="0.2">
      <c r="B85" s="14">
        <v>53</v>
      </c>
      <c r="C85" s="2" t="s">
        <v>59</v>
      </c>
      <c r="D85" s="14">
        <v>26</v>
      </c>
      <c r="E85" s="14">
        <v>26</v>
      </c>
      <c r="F85" s="92">
        <v>52.931004442849513</v>
      </c>
      <c r="G85" s="55">
        <f t="shared" ref="G85:G116" si="13">F85/E85</f>
        <v>2.0358078631865197</v>
      </c>
      <c r="H85" s="99">
        <v>330</v>
      </c>
      <c r="J85" s="41">
        <f>$J$10*$J$11*G85*$J$15</f>
        <v>6.1569761516787276</v>
      </c>
      <c r="K85" s="42">
        <f>$J$7*(1+$J$6*(J85-$J$16)/$J$16)</f>
        <v>107.82501890203157</v>
      </c>
      <c r="L85" s="43">
        <f>$J$13/K85*$J$8/1000000</f>
        <v>244.35047960295407</v>
      </c>
      <c r="M85" s="43">
        <f>L85-$M$17</f>
        <v>1.2512446711492942</v>
      </c>
      <c r="N85" s="30">
        <f>IF(ABS(M85)&gt;$M$15,M85-$M$15*SIGN(M85)*INT(M85/$M$15),M85)</f>
        <v>1.2512446711492942</v>
      </c>
      <c r="O85" s="46"/>
      <c r="P85" s="8">
        <f t="shared" si="8"/>
        <v>0.98315936193278064</v>
      </c>
      <c r="Q85" s="111">
        <f t="shared" ref="Q85:Q128" si="14">SQRT(P85^2+1)</f>
        <v>1.4023559929476082</v>
      </c>
      <c r="R85" s="119">
        <f t="shared" ref="R85:R128" si="15">SQRT(1-1/Q85^2)</f>
        <v>0.70107687839396648</v>
      </c>
      <c r="S85" s="53">
        <f t="shared" si="9"/>
        <v>-5.0574203133153426E-5</v>
      </c>
      <c r="T85" s="16">
        <f t="shared" si="10"/>
        <v>5.1206966042481386E-3</v>
      </c>
      <c r="U85" s="135">
        <f t="shared" si="11"/>
        <v>1.2325428767216577</v>
      </c>
      <c r="V85" s="30">
        <f t="shared" ref="V85:V128" si="16">IF(ABS(U85)&gt;$M$15,U85+$M$15*SIGN(U85)*INT(U85/$M$15),U85)</f>
        <v>1.2325428767216577</v>
      </c>
    </row>
    <row r="86" spans="1:22" x14ac:dyDescent="0.2">
      <c r="B86" s="14">
        <v>55</v>
      </c>
      <c r="C86" s="2" t="s">
        <v>58</v>
      </c>
      <c r="D86" s="14">
        <v>27</v>
      </c>
      <c r="E86" s="14">
        <v>27</v>
      </c>
      <c r="F86" s="92">
        <v>54.927144767675934</v>
      </c>
      <c r="G86" s="55">
        <f t="shared" si="13"/>
        <v>2.0343386950991085</v>
      </c>
      <c r="H86" s="99">
        <v>314</v>
      </c>
      <c r="J86" s="41">
        <f>$J$10*$J$11*G86*$J$15</f>
        <v>6.1525328871445</v>
      </c>
      <c r="K86" s="42">
        <f>$J$7*(1+$J$6*(J86-$J$16)/$J$16)</f>
        <v>107.78525659483657</v>
      </c>
      <c r="L86" s="43">
        <f>$J$13/K86*$J$8/1000000</f>
        <v>244.44062123400977</v>
      </c>
      <c r="M86" s="43">
        <f>L86-$M$17</f>
        <v>1.3413863022049952</v>
      </c>
      <c r="N86" s="30">
        <f>IF(ABS(M86)&gt;$M$15,M86-$M$15*SIGN(M86)*INT(M86/$M$15),M86)</f>
        <v>1.3413863022049952</v>
      </c>
      <c r="O86" s="46"/>
      <c r="P86" s="8">
        <f t="shared" si="8"/>
        <v>0.98386938448845007</v>
      </c>
      <c r="Q86" s="111">
        <f t="shared" si="14"/>
        <v>1.4028538647106767</v>
      </c>
      <c r="R86" s="119">
        <f t="shared" si="15"/>
        <v>0.70133419398702834</v>
      </c>
      <c r="S86" s="53">
        <f t="shared" si="9"/>
        <v>-5.8154849104369118E-5</v>
      </c>
      <c r="T86" s="16">
        <f t="shared" si="10"/>
        <v>5.4875752460179193E-3</v>
      </c>
      <c r="U86" s="135">
        <f t="shared" si="11"/>
        <v>1.31988794461282</v>
      </c>
      <c r="V86" s="30">
        <f t="shared" si="16"/>
        <v>1.31988794461282</v>
      </c>
    </row>
    <row r="87" spans="1:22" x14ac:dyDescent="0.2">
      <c r="B87" s="14">
        <v>57</v>
      </c>
      <c r="C87" s="2" t="s">
        <v>43</v>
      </c>
      <c r="D87" s="14">
        <v>28</v>
      </c>
      <c r="E87" s="14">
        <v>28</v>
      </c>
      <c r="F87" s="92">
        <v>56.924386975700749</v>
      </c>
      <c r="G87" s="55">
        <f t="shared" si="13"/>
        <v>2.0330138205607411</v>
      </c>
      <c r="H87" s="99">
        <v>298</v>
      </c>
      <c r="J87" s="41">
        <f>$J$10*$J$11*G87*$J$15</f>
        <v>6.148526015433176</v>
      </c>
      <c r="K87" s="42">
        <f>$J$7*(1+$J$6*(J87-$J$16)/$J$16)</f>
        <v>107.74939952113562</v>
      </c>
      <c r="L87" s="43">
        <f>$J$13/K87*$J$8/1000000</f>
        <v>244.52196670238405</v>
      </c>
      <c r="M87" s="43">
        <f>L87-$M$17</f>
        <v>1.4227317705792757</v>
      </c>
      <c r="N87" s="30">
        <f>IF(ABS(M87)&gt;$M$15,M87-$M$15*SIGN(M87)*INT(M87/$M$15),M87)</f>
        <v>1.4227317705792757</v>
      </c>
      <c r="O87" s="46"/>
      <c r="P87" s="8">
        <f t="shared" si="8"/>
        <v>0.98451055253335218</v>
      </c>
      <c r="Q87" s="111">
        <f t="shared" si="14"/>
        <v>1.403303612212812</v>
      </c>
      <c r="R87" s="119">
        <f t="shared" si="15"/>
        <v>0.70156632104788619</v>
      </c>
      <c r="S87" s="53">
        <f t="shared" si="9"/>
        <v>-6.5453839204074855E-5</v>
      </c>
      <c r="T87" s="16">
        <f t="shared" si="10"/>
        <v>5.8184211004279323E-3</v>
      </c>
      <c r="U87" s="135">
        <f t="shared" si="11"/>
        <v>1.39854193979124</v>
      </c>
      <c r="V87" s="30">
        <f t="shared" si="16"/>
        <v>1.39854193979124</v>
      </c>
    </row>
    <row r="88" spans="1:22" x14ac:dyDescent="0.2">
      <c r="B88" s="14">
        <v>59</v>
      </c>
      <c r="C88" s="2" t="s">
        <v>48</v>
      </c>
      <c r="D88" s="14">
        <v>29</v>
      </c>
      <c r="E88" s="14">
        <v>29</v>
      </c>
      <c r="F88" s="92">
        <v>58.923540066923962</v>
      </c>
      <c r="G88" s="55">
        <f t="shared" si="13"/>
        <v>2.0318462092042746</v>
      </c>
      <c r="H88" s="99">
        <v>274</v>
      </c>
      <c r="I88" s="14">
        <v>81.5</v>
      </c>
      <c r="J88" s="41">
        <f>$J$10*$J$11*G88*$J$15</f>
        <v>6.1449947611305511</v>
      </c>
      <c r="K88" s="42">
        <f>$J$7*(1+$J$6*(J88-$J$16)/$J$16)</f>
        <v>107.71779869762329</v>
      </c>
      <c r="L88" s="43">
        <f>$J$13/K88*$J$8/1000000</f>
        <v>244.59370132384936</v>
      </c>
      <c r="M88" s="43">
        <f>L88-$M$17</f>
        <v>1.4944663920445862</v>
      </c>
      <c r="N88" s="30">
        <f>IF(ABS(M88)&gt;$M$15,M88-$M$15*SIGN(M88)*INT(M88/$M$15),M88)</f>
        <v>1.4944663920445862</v>
      </c>
      <c r="O88" s="46"/>
      <c r="P88" s="8">
        <f t="shared" si="8"/>
        <v>0.98507630681952385</v>
      </c>
      <c r="Q88" s="111">
        <f t="shared" si="14"/>
        <v>1.4037005842618977</v>
      </c>
      <c r="R88" s="119">
        <f t="shared" si="15"/>
        <v>0.7017709601777381</v>
      </c>
      <c r="S88" s="53">
        <f t="shared" si="9"/>
        <v>-7.2251580396464081E-5</v>
      </c>
      <c r="T88" s="16">
        <f t="shared" si="10"/>
        <v>6.1099954085319192E-3</v>
      </c>
      <c r="U88" s="135">
        <f t="shared" si="11"/>
        <v>1.4677709053339554</v>
      </c>
      <c r="V88" s="30">
        <f t="shared" si="16"/>
        <v>1.4677709053339554</v>
      </c>
    </row>
    <row r="89" spans="1:22" x14ac:dyDescent="0.2">
      <c r="B89" s="14">
        <v>61</v>
      </c>
      <c r="C89" s="2" t="s">
        <v>47</v>
      </c>
      <c r="D89" s="14">
        <v>30</v>
      </c>
      <c r="E89" s="14">
        <v>30</v>
      </c>
      <c r="F89" s="92">
        <v>60.923001041345564</v>
      </c>
      <c r="G89" s="55">
        <f t="shared" si="13"/>
        <v>2.0307667013781856</v>
      </c>
      <c r="H89" s="99">
        <v>248</v>
      </c>
      <c r="I89" s="14">
        <v>89</v>
      </c>
      <c r="J89" s="41">
        <f>$J$10*$J$11*G89*$J$15</f>
        <v>6.141729961902211</v>
      </c>
      <c r="K89" s="42">
        <f>$J$7*(1+$J$6*(J89-$J$16)/$J$16)</f>
        <v>107.68858235255826</v>
      </c>
      <c r="L89" s="43">
        <f>$J$13/K89*$J$8/1000000</f>
        <v>244.6600605777507</v>
      </c>
      <c r="M89" s="43">
        <f>L89-$M$17</f>
        <v>1.5608256459459255</v>
      </c>
      <c r="N89" s="30">
        <f>IF(ABS(M89)&gt;$M$15,M89-$M$15*SIGN(M89)*INT(M89/$M$15),M89)</f>
        <v>1.5608256459459255</v>
      </c>
      <c r="O89" s="46"/>
      <c r="P89" s="8">
        <f t="shared" si="8"/>
        <v>0.98559995022070079</v>
      </c>
      <c r="Q89" s="111">
        <f t="shared" si="14"/>
        <v>1.4040681115512339</v>
      </c>
      <c r="R89" s="119">
        <f t="shared" si="15"/>
        <v>0.7019602126935256</v>
      </c>
      <c r="S89" s="53">
        <f t="shared" si="9"/>
        <v>-7.8841684523850498E-5</v>
      </c>
      <c r="T89" s="16">
        <f t="shared" si="10"/>
        <v>6.3795686237473111E-3</v>
      </c>
      <c r="U89" s="135">
        <f t="shared" si="11"/>
        <v>1.5317018984394353</v>
      </c>
      <c r="V89" s="30">
        <f t="shared" si="16"/>
        <v>1.5317018984394353</v>
      </c>
    </row>
    <row r="90" spans="1:22" x14ac:dyDescent="0.2">
      <c r="B90" s="14">
        <v>63</v>
      </c>
      <c r="C90" s="2" t="s">
        <v>39</v>
      </c>
      <c r="D90" s="14">
        <v>31</v>
      </c>
      <c r="E90" s="14">
        <v>31</v>
      </c>
      <c r="F90" s="92">
        <v>62.92223189896557</v>
      </c>
      <c r="G90" s="55">
        <f t="shared" si="13"/>
        <v>2.0297494160956635</v>
      </c>
      <c r="H90" s="99">
        <v>200</v>
      </c>
      <c r="J90" s="41">
        <f>$J$10*$J$11*G90*$J$15</f>
        <v>6.1386533448318072</v>
      </c>
      <c r="K90" s="42">
        <f>$J$7*(1+$J$6*(J90-$J$16)/$J$16)</f>
        <v>107.66105002984094</v>
      </c>
      <c r="L90" s="43">
        <f>$J$13/K90*$J$8/1000000</f>
        <v>244.72262786408126</v>
      </c>
      <c r="M90" s="43">
        <f>L90-$M$17</f>
        <v>1.623392932276488</v>
      </c>
      <c r="N90" s="30">
        <f>IF(ABS(M90)&gt;$M$15,M90-$M$15*SIGN(M90)*INT(M90/$M$15),M90)</f>
        <v>1.623392932276488</v>
      </c>
      <c r="O90" s="46"/>
      <c r="P90" s="8">
        <f t="shared" si="8"/>
        <v>0.98609392071571034</v>
      </c>
      <c r="Q90" s="111">
        <f t="shared" si="14"/>
        <v>1.4044149032506319</v>
      </c>
      <c r="R90" s="119">
        <f t="shared" si="15"/>
        <v>0.70213860479073253</v>
      </c>
      <c r="S90" s="53">
        <f t="shared" si="9"/>
        <v>-8.5321142773897284E-5</v>
      </c>
      <c r="T90" s="16">
        <f t="shared" si="10"/>
        <v>6.6336037106390832E-3</v>
      </c>
      <c r="U90" s="135">
        <f t="shared" si="11"/>
        <v>1.5918824823653008</v>
      </c>
      <c r="V90" s="30">
        <f t="shared" si="16"/>
        <v>1.5918824823653008</v>
      </c>
    </row>
    <row r="91" spans="1:22" x14ac:dyDescent="0.2">
      <c r="B91" s="14">
        <v>65</v>
      </c>
      <c r="C91" s="2" t="s">
        <v>36</v>
      </c>
      <c r="D91" s="14">
        <v>32</v>
      </c>
      <c r="E91" s="14">
        <v>32</v>
      </c>
      <c r="F91" s="92">
        <v>64.921826639783973</v>
      </c>
      <c r="G91" s="55">
        <f t="shared" si="13"/>
        <v>2.0288070824932491</v>
      </c>
      <c r="H91" s="99">
        <v>124</v>
      </c>
      <c r="I91" s="14">
        <v>30.9</v>
      </c>
      <c r="J91" s="41">
        <f>$J$10*$J$11*G91*$J$15</f>
        <v>6.1358034071623901</v>
      </c>
      <c r="K91" s="42">
        <f>$J$7*(1+$J$6*(J91-$J$16)/$J$16)</f>
        <v>107.63554623725216</v>
      </c>
      <c r="L91" s="43">
        <f>$J$13/K91*$J$8/1000000</f>
        <v>244.78061386741396</v>
      </c>
      <c r="M91" s="43">
        <f>L91-$M$17</f>
        <v>1.6813789356091888</v>
      </c>
      <c r="N91" s="30">
        <f>IF(ABS(M91)&gt;$M$15,M91-$M$15*SIGN(M91)*INT(M91/$M$15),M91)</f>
        <v>1.6813789356091888</v>
      </c>
      <c r="O91" s="46"/>
      <c r="P91" s="8">
        <f t="shared" si="8"/>
        <v>0.98655193835802113</v>
      </c>
      <c r="Q91" s="111">
        <f t="shared" si="14"/>
        <v>1.4047365329761907</v>
      </c>
      <c r="R91" s="119">
        <f t="shared" si="15"/>
        <v>0.70230389485765754</v>
      </c>
      <c r="S91" s="53">
        <f t="shared" si="9"/>
        <v>-9.1556873650367344E-5</v>
      </c>
      <c r="T91" s="16">
        <f t="shared" si="10"/>
        <v>6.8689219666712587E-3</v>
      </c>
      <c r="U91" s="135">
        <f t="shared" si="11"/>
        <v>1.6475722689668988</v>
      </c>
      <c r="V91" s="30">
        <f t="shared" si="16"/>
        <v>1.6475722689668988</v>
      </c>
    </row>
    <row r="92" spans="1:22" x14ac:dyDescent="0.2">
      <c r="A92" s="25"/>
      <c r="B92" s="14">
        <v>67</v>
      </c>
      <c r="C92" s="2" t="s">
        <v>37</v>
      </c>
      <c r="D92" s="14">
        <v>33</v>
      </c>
      <c r="E92" s="14">
        <v>33</v>
      </c>
      <c r="F92" s="92">
        <v>66.921016263800766</v>
      </c>
      <c r="G92" s="55">
        <f t="shared" si="13"/>
        <v>2.0279095837515384</v>
      </c>
      <c r="H92" s="99">
        <v>52.7</v>
      </c>
      <c r="I92" s="14">
        <v>42.5</v>
      </c>
      <c r="J92" s="41">
        <f>$J$10*$J$11*G92*$J$15</f>
        <v>6.1330890653775878</v>
      </c>
      <c r="K92" s="42">
        <f>$J$7*(1+$J$6*(J92-$J$16)/$J$16)</f>
        <v>107.61125587797957</v>
      </c>
      <c r="L92" s="43">
        <f>$J$13/K92*$J$8/1000000</f>
        <v>244.83586653596885</v>
      </c>
      <c r="M92" s="43">
        <f>L92-$M$17</f>
        <v>1.7366316041640744</v>
      </c>
      <c r="N92" s="30">
        <f>IF(ABS(M92)&gt;$M$15,M92-$M$15*SIGN(M92)*INT(M92/$M$15),M92)</f>
        <v>1.7366316041640744</v>
      </c>
      <c r="O92" s="46"/>
      <c r="P92" s="8">
        <f t="shared" si="8"/>
        <v>0.9869885599561451</v>
      </c>
      <c r="Q92" s="111">
        <f t="shared" si="14"/>
        <v>1.4050432084047468</v>
      </c>
      <c r="R92" s="119">
        <f t="shared" si="15"/>
        <v>0.70246135780888097</v>
      </c>
      <c r="S92" s="53">
        <f t="shared" si="9"/>
        <v>-9.7705376991944566E-5</v>
      </c>
      <c r="T92" s="16">
        <f t="shared" si="10"/>
        <v>7.0930441227202157E-3</v>
      </c>
      <c r="U92" s="135">
        <f t="shared" si="11"/>
        <v>1.7005614971753535</v>
      </c>
      <c r="V92" s="30">
        <f t="shared" si="16"/>
        <v>1.7005614971753535</v>
      </c>
    </row>
    <row r="93" spans="1:22" x14ac:dyDescent="0.2">
      <c r="B93" s="14">
        <v>69</v>
      </c>
      <c r="C93" s="2" t="s">
        <v>42</v>
      </c>
      <c r="D93" s="14">
        <v>34</v>
      </c>
      <c r="E93" s="14">
        <v>34</v>
      </c>
      <c r="F93" s="92">
        <v>68.920839771015977</v>
      </c>
      <c r="G93" s="55">
        <f t="shared" si="13"/>
        <v>2.0270835226769406</v>
      </c>
      <c r="H93" s="99">
        <v>13</v>
      </c>
      <c r="I93" s="14">
        <v>27.4</v>
      </c>
      <c r="J93" s="41">
        <f>$J$10*$J$11*G93*$J$15</f>
        <v>6.1305907754219895</v>
      </c>
      <c r="K93" s="42">
        <f>$J$7*(1+$J$6*(J93-$J$16)/$J$16)</f>
        <v>107.58889894381294</v>
      </c>
      <c r="L93" s="43">
        <f>$J$13/K93*$J$8/1000000</f>
        <v>244.88674334020712</v>
      </c>
      <c r="M93" s="43">
        <f>L93-$M$17</f>
        <v>1.7875084084023456</v>
      </c>
      <c r="N93" s="30">
        <f>IF(ABS(M93)&gt;$M$15,M93-$M$15*SIGN(M93)*INT(M93/$M$15),M93)</f>
        <v>1.7875084084023456</v>
      </c>
      <c r="O93" s="46"/>
      <c r="P93" s="8">
        <f t="shared" si="8"/>
        <v>0.98739076974243756</v>
      </c>
      <c r="Q93" s="111">
        <f t="shared" si="14"/>
        <v>1.4053257743927432</v>
      </c>
      <c r="R93" s="119">
        <f t="shared" si="15"/>
        <v>0.70260631928500705</v>
      </c>
      <c r="S93" s="53">
        <f t="shared" si="9"/>
        <v>-1.0354549960604257E-4</v>
      </c>
      <c r="T93" s="16">
        <f t="shared" si="10"/>
        <v>7.29932696241986E-3</v>
      </c>
      <c r="U93" s="135">
        <f t="shared" si="11"/>
        <v>1.749288968346502</v>
      </c>
      <c r="V93" s="30">
        <f t="shared" si="16"/>
        <v>1.749288968346502</v>
      </c>
    </row>
    <row r="94" spans="1:22" x14ac:dyDescent="0.2">
      <c r="A94" s="5"/>
      <c r="B94" s="14">
        <v>71</v>
      </c>
      <c r="C94" s="2" t="s">
        <v>57</v>
      </c>
      <c r="D94" s="14">
        <v>35</v>
      </c>
      <c r="E94" s="14">
        <v>35</v>
      </c>
      <c r="F94" s="92">
        <v>70.91947116142957</v>
      </c>
      <c r="G94" s="55">
        <f t="shared" si="13"/>
        <v>2.0262706046122734</v>
      </c>
      <c r="H94" s="99">
        <v>1.35</v>
      </c>
      <c r="J94" s="41">
        <f>$J$10*$J$11*G94*$J$15</f>
        <v>6.1281322344034912</v>
      </c>
      <c r="K94" s="42">
        <f>$J$7*(1+$J$6*(J94-$J$16)/$J$16)</f>
        <v>107.56689771870558</v>
      </c>
      <c r="L94" s="43">
        <f>$J$13/K94*$J$8/1000000</f>
        <v>244.93683131783132</v>
      </c>
      <c r="M94" s="43">
        <f>L94-$M$17</f>
        <v>1.8375963860265472</v>
      </c>
      <c r="N94" s="30">
        <f>IF(ABS(M94)&gt;$M$15,M94-$M$15*SIGN(M94)*INT(M94/$M$15),M94)</f>
        <v>1.8375963860265472</v>
      </c>
      <c r="O94" s="46"/>
      <c r="P94" s="8">
        <f t="shared" si="8"/>
        <v>0.9877869003440376</v>
      </c>
      <c r="Q94" s="111">
        <f t="shared" si="14"/>
        <v>1.4056041265204373</v>
      </c>
      <c r="R94" s="119">
        <f t="shared" si="15"/>
        <v>0.70274900429418685</v>
      </c>
      <c r="S94" s="53">
        <f t="shared" si="9"/>
        <v>-1.0946246908193966E-4</v>
      </c>
      <c r="T94" s="16">
        <f t="shared" si="10"/>
        <v>7.5023277476878843E-3</v>
      </c>
      <c r="U94" s="135">
        <f t="shared" si="11"/>
        <v>1.7971998931830089</v>
      </c>
      <c r="V94" s="30">
        <f t="shared" si="16"/>
        <v>1.7971998931830089</v>
      </c>
    </row>
    <row r="95" spans="1:22" x14ac:dyDescent="0.2">
      <c r="A95" s="5"/>
      <c r="B95" s="14">
        <v>10</v>
      </c>
      <c r="C95" s="2" t="s">
        <v>85</v>
      </c>
      <c r="D95" s="14">
        <v>5</v>
      </c>
      <c r="E95" s="14">
        <v>5</v>
      </c>
      <c r="F95" s="92">
        <v>10.01019164032445</v>
      </c>
      <c r="G95" s="55">
        <f t="shared" si="13"/>
        <v>2.0020383280648901</v>
      </c>
      <c r="H95" s="99">
        <v>3</v>
      </c>
      <c r="J95" s="41">
        <f>$J$10*$J$11*G95*$J$15</f>
        <v>6.0548455792622766</v>
      </c>
      <c r="K95" s="42">
        <f>$J$7*(1+$J$6*(J95-$J$16)/$J$16)</f>
        <v>106.91106314649596</v>
      </c>
      <c r="L95" s="43">
        <f>$J$13/K95*$J$8/1000000</f>
        <v>246.4393703185481</v>
      </c>
      <c r="M95" s="43">
        <f>L95-$M$17</f>
        <v>3.3401353867433272</v>
      </c>
      <c r="N95" s="30">
        <f>IF(ABS(M95)&gt;$M$15,M95-$M$15*SIGN(M95)*INT(M95/$M$15),M95)</f>
        <v>1.4107763793480512</v>
      </c>
      <c r="O95" s="46"/>
      <c r="P95" s="8">
        <f t="shared" si="8"/>
        <v>0.99974287791123795</v>
      </c>
      <c r="Q95" s="111">
        <f t="shared" si="14"/>
        <v>1.4140317612890612</v>
      </c>
      <c r="R95" s="119">
        <f t="shared" si="15"/>
        <v>0.70701585726748539</v>
      </c>
      <c r="S95" s="53">
        <f t="shared" si="9"/>
        <v>-3.6491927929731781E-4</v>
      </c>
      <c r="T95" s="16">
        <f t="shared" si="10"/>
        <v>1.3553578644621088E-2</v>
      </c>
      <c r="U95" s="135">
        <f t="shared" si="11"/>
        <v>3.2061530014863902</v>
      </c>
      <c r="V95" s="30">
        <f t="shared" si="16"/>
        <v>5.1355120088816664</v>
      </c>
    </row>
    <row r="96" spans="1:22" x14ac:dyDescent="0.2">
      <c r="B96" s="14">
        <v>14</v>
      </c>
      <c r="C96" s="2" t="s">
        <v>83</v>
      </c>
      <c r="D96" s="14">
        <v>7</v>
      </c>
      <c r="E96" s="14">
        <v>7</v>
      </c>
      <c r="F96" s="92">
        <v>13.999230078843009</v>
      </c>
      <c r="G96" s="55">
        <f t="shared" si="13"/>
        <v>1.9998900112632871</v>
      </c>
      <c r="H96" s="99">
        <v>4.4800000000000004</v>
      </c>
      <c r="J96" s="41">
        <f>$J$10*$J$11*G96*$J$15</f>
        <v>6.0483483377725928</v>
      </c>
      <c r="K96" s="42">
        <f>$J$7*(1+$J$6*(J96-$J$16)/$J$16)</f>
        <v>106.85292001546182</v>
      </c>
      <c r="L96" s="43">
        <f>$J$13/K96*$J$8/1000000</f>
        <v>246.57346825988964</v>
      </c>
      <c r="M96" s="43">
        <f>L96-$M$17</f>
        <v>3.4742333280848641</v>
      </c>
      <c r="N96" s="30">
        <f>IF(ABS(M96)&gt;$M$15,M96-$M$15*SIGN(M96)*INT(M96/$M$15),M96)</f>
        <v>1.5448743206895881</v>
      </c>
      <c r="O96" s="46"/>
      <c r="P96" s="8">
        <f t="shared" si="8"/>
        <v>1.0008168191829097</v>
      </c>
      <c r="Q96" s="111">
        <f t="shared" si="14"/>
        <v>1.4147912586524545</v>
      </c>
      <c r="R96" s="119">
        <f t="shared" si="15"/>
        <v>0.70739539353399505</v>
      </c>
      <c r="S96" s="53">
        <f t="shared" si="9"/>
        <v>-3.9512596169723158E-4</v>
      </c>
      <c r="T96" s="16">
        <f t="shared" si="10"/>
        <v>1.4090053372745655E-2</v>
      </c>
      <c r="U96" s="135">
        <f t="shared" si="11"/>
        <v>3.3292263760724738</v>
      </c>
      <c r="V96" s="30">
        <f t="shared" si="16"/>
        <v>5.2585853834677501</v>
      </c>
    </row>
    <row r="97" spans="1:22" x14ac:dyDescent="0.2">
      <c r="A97" s="5"/>
      <c r="B97" s="14">
        <v>18</v>
      </c>
      <c r="C97" s="2" t="s">
        <v>81</v>
      </c>
      <c r="D97" s="14">
        <v>9</v>
      </c>
      <c r="E97" s="14">
        <v>9</v>
      </c>
      <c r="F97" s="92">
        <v>17.995995050155155</v>
      </c>
      <c r="G97" s="55">
        <f t="shared" si="13"/>
        <v>1.9995550055727951</v>
      </c>
      <c r="H97" s="99">
        <v>8.86</v>
      </c>
      <c r="J97" s="41">
        <f>$J$10*$J$11*G97*$J$15</f>
        <v>6.0473351664982626</v>
      </c>
      <c r="K97" s="42">
        <f>$J$7*(1+$J$6*(J97-$J$16)/$J$16)</f>
        <v>106.84385325224285</v>
      </c>
      <c r="L97" s="43">
        <f>$J$13/K97*$J$8/1000000</f>
        <v>246.59439247017167</v>
      </c>
      <c r="M97" s="43">
        <f>L97-$M$17</f>
        <v>3.4951575383668967</v>
      </c>
      <c r="N97" s="30">
        <f>IF(ABS(M97)&gt;$M$15,M97-$M$15*SIGN(M97)*INT(M97/$M$15),M97)</f>
        <v>1.5657985309716207</v>
      </c>
      <c r="O97" s="46"/>
      <c r="P97" s="8">
        <f t="shared" ref="P97:P128" si="17">$J$16/G97/$J$15</f>
        <v>1.000984496155352</v>
      </c>
      <c r="Q97" s="111">
        <f t="shared" si="14"/>
        <v>1.4149098775340372</v>
      </c>
      <c r="R97" s="119">
        <f t="shared" si="15"/>
        <v>0.70745459626015816</v>
      </c>
      <c r="S97" s="53">
        <f t="shared" ref="S97:S128" si="18">(1-(Q97/$J$5)^2)*(R97/$J$11-1)</f>
        <v>-3.9994987696593995E-4</v>
      </c>
      <c r="T97" s="16">
        <f t="shared" ref="T97:T128" si="19">-(G97/$J$14-1)*$J$6</f>
        <v>1.4173710534758639E-2</v>
      </c>
      <c r="U97" s="135">
        <f t="shared" ref="U97:U128" si="20">(S97+T97)*$M$17</f>
        <v>3.3483906780431973</v>
      </c>
      <c r="V97" s="30">
        <f t="shared" si="16"/>
        <v>5.2777496854384731</v>
      </c>
    </row>
    <row r="98" spans="1:22" x14ac:dyDescent="0.2">
      <c r="A98" s="5"/>
      <c r="B98" s="14">
        <v>12</v>
      </c>
      <c r="C98" s="2" t="s">
        <v>84</v>
      </c>
      <c r="D98" s="14">
        <v>6</v>
      </c>
      <c r="E98" s="14">
        <v>6</v>
      </c>
      <c r="F98" s="92">
        <v>11.99670641798453</v>
      </c>
      <c r="G98" s="55">
        <f t="shared" si="13"/>
        <v>1.9994510696640884</v>
      </c>
      <c r="H98" s="99">
        <v>3.33</v>
      </c>
      <c r="J98" s="41">
        <f>$J$10*$J$11*G98*$J$15</f>
        <v>6.047020828921136</v>
      </c>
      <c r="K98" s="42">
        <f>$J$7*(1+$J$6*(J98-$J$16)/$J$16)</f>
        <v>106.84104027831155</v>
      </c>
      <c r="L98" s="43">
        <f>$J$13/K98*$J$8/1000000</f>
        <v>246.60088495279649</v>
      </c>
      <c r="M98" s="43">
        <f>L98-$M$17</f>
        <v>3.5016500209917183</v>
      </c>
      <c r="N98" s="30">
        <f>IF(ABS(M98)&gt;$M$15,M98-$M$15*SIGN(M98)*INT(M98/$M$15),M98)</f>
        <v>1.5722910135964423</v>
      </c>
      <c r="O98" s="46"/>
      <c r="P98" s="8">
        <f t="shared" si="17"/>
        <v>1.0010365295533119</v>
      </c>
      <c r="Q98" s="111">
        <f t="shared" si="14"/>
        <v>1.4149466892784826</v>
      </c>
      <c r="R98" s="119">
        <f t="shared" si="15"/>
        <v>0.70747296498058598</v>
      </c>
      <c r="S98" s="53">
        <f t="shared" si="18"/>
        <v>-4.0145274175192318E-4</v>
      </c>
      <c r="T98" s="16">
        <f t="shared" si="19"/>
        <v>1.4199665267470405E-2</v>
      </c>
      <c r="U98" s="135">
        <f t="shared" si="20"/>
        <v>3.3543349084286085</v>
      </c>
      <c r="V98" s="30">
        <f t="shared" si="16"/>
        <v>5.2836939158238847</v>
      </c>
    </row>
    <row r="99" spans="1:22" x14ac:dyDescent="0.2">
      <c r="A99" s="5"/>
      <c r="B99" s="14">
        <v>22</v>
      </c>
      <c r="C99" s="2" t="s">
        <v>79</v>
      </c>
      <c r="D99" s="14">
        <v>11</v>
      </c>
      <c r="E99" s="14">
        <v>11</v>
      </c>
      <c r="F99" s="92">
        <v>21.988394554260889</v>
      </c>
      <c r="G99" s="55">
        <f t="shared" si="13"/>
        <v>1.9989449594782627</v>
      </c>
      <c r="H99" s="99">
        <v>15.5</v>
      </c>
      <c r="J99" s="41">
        <f>$J$10*$J$11*G99*$J$15</f>
        <v>6.0454901793934477</v>
      </c>
      <c r="K99" s="42">
        <f>$J$7*(1+$J$6*(J99-$J$16)/$J$16)</f>
        <v>106.82734265660594</v>
      </c>
      <c r="L99" s="43">
        <f>$J$13/K99*$J$8/1000000</f>
        <v>246.63250462572248</v>
      </c>
      <c r="M99" s="43">
        <f>L99-$M$17</f>
        <v>3.5332696939177026</v>
      </c>
      <c r="N99" s="30">
        <f>IF(ABS(M99)&gt;$M$15,M99-$M$15*SIGN(M99)*INT(M99/$M$15),M99)</f>
        <v>1.6039106865224266</v>
      </c>
      <c r="O99" s="46"/>
      <c r="P99" s="8">
        <f t="shared" si="17"/>
        <v>1.0012899806458937</v>
      </c>
      <c r="Q99" s="111">
        <f t="shared" si="14"/>
        <v>1.4151260104110355</v>
      </c>
      <c r="R99" s="119">
        <f t="shared" si="15"/>
        <v>0.70756241725431956</v>
      </c>
      <c r="S99" s="53">
        <f t="shared" si="18"/>
        <v>-4.0881311930416898E-4</v>
      </c>
      <c r="T99" s="16">
        <f t="shared" si="19"/>
        <v>1.4326050409614854E-2</v>
      </c>
      <c r="U99" s="135">
        <f t="shared" si="20"/>
        <v>3.3832697376389116</v>
      </c>
      <c r="V99" s="30">
        <f t="shared" si="16"/>
        <v>5.3126287450341874</v>
      </c>
    </row>
    <row r="100" spans="1:22" x14ac:dyDescent="0.2">
      <c r="A100" s="5"/>
      <c r="B100" s="14">
        <v>16</v>
      </c>
      <c r="C100" s="2" t="s">
        <v>82</v>
      </c>
      <c r="D100" s="14">
        <v>8</v>
      </c>
      <c r="E100" s="14">
        <v>8</v>
      </c>
      <c r="F100" s="92">
        <v>15.990521622899884</v>
      </c>
      <c r="G100" s="55">
        <f t="shared" si="13"/>
        <v>1.9988152028624855</v>
      </c>
      <c r="H100" s="99">
        <v>6.6</v>
      </c>
      <c r="J100" s="41">
        <f>$J$10*$J$11*G100*$J$15</f>
        <v>6.0450977512064314</v>
      </c>
      <c r="K100" s="42">
        <f>$J$7*(1+$J$6*(J100-$J$16)/$J$16)</f>
        <v>106.82383085801642</v>
      </c>
      <c r="L100" s="43">
        <f>$J$13/K100*$J$8/1000000</f>
        <v>246.64061258885124</v>
      </c>
      <c r="M100" s="43">
        <f>L100-$M$17</f>
        <v>3.5413776570464677</v>
      </c>
      <c r="N100" s="30">
        <f>IF(ABS(M100)&gt;$M$15,M100-$M$15*SIGN(M100)*INT(M100/$M$15),M100)</f>
        <v>1.6120186496511917</v>
      </c>
      <c r="O100" s="46"/>
      <c r="P100" s="8">
        <f t="shared" si="17"/>
        <v>1.0013549811517506</v>
      </c>
      <c r="Q100" s="111">
        <f t="shared" si="14"/>
        <v>1.4151720030715074</v>
      </c>
      <c r="R100" s="119">
        <f t="shared" si="15"/>
        <v>0.70758535286056878</v>
      </c>
      <c r="S100" s="53">
        <f t="shared" si="18"/>
        <v>-4.1071147460330915E-4</v>
      </c>
      <c r="T100" s="16">
        <f t="shared" si="19"/>
        <v>1.4358453053917359E-2</v>
      </c>
      <c r="U100" s="135">
        <f t="shared" si="20"/>
        <v>3.390685306957768</v>
      </c>
      <c r="V100" s="30">
        <f t="shared" si="16"/>
        <v>5.3200443143530443</v>
      </c>
    </row>
    <row r="101" spans="1:22" x14ac:dyDescent="0.2">
      <c r="A101" s="5"/>
      <c r="B101" s="14">
        <v>20</v>
      </c>
      <c r="C101" s="2" t="s">
        <v>80</v>
      </c>
      <c r="D101" s="14">
        <v>10</v>
      </c>
      <c r="E101" s="14">
        <v>10</v>
      </c>
      <c r="F101" s="92">
        <v>19.986948360608821</v>
      </c>
      <c r="G101" s="55">
        <f t="shared" si="13"/>
        <v>1.9986948360608821</v>
      </c>
      <c r="H101" s="99">
        <v>12.3</v>
      </c>
      <c r="J101" s="41">
        <f>$J$10*$J$11*G101*$J$15</f>
        <v>6.0447337210146204</v>
      </c>
      <c r="K101" s="42">
        <f>$J$7*(1+$J$6*(J101-$J$16)/$J$16)</f>
        <v>106.82057319010052</v>
      </c>
      <c r="L101" s="43">
        <f>$J$13/K101*$J$8/1000000</f>
        <v>246.64813429732365</v>
      </c>
      <c r="M101" s="43">
        <f>L101-$M$17</f>
        <v>3.5488993655188779</v>
      </c>
      <c r="N101" s="30">
        <f>IF(ABS(M101)&gt;$M$15,M101-$M$15*SIGN(M101)*INT(M101/$M$15),M101)</f>
        <v>1.6195403581236019</v>
      </c>
      <c r="O101" s="46"/>
      <c r="P101" s="8">
        <f t="shared" si="17"/>
        <v>1.0014152854534257</v>
      </c>
      <c r="Q101" s="111">
        <f t="shared" si="14"/>
        <v>1.4152146741536304</v>
      </c>
      <c r="R101" s="119">
        <f t="shared" si="15"/>
        <v>0.70760662939869712</v>
      </c>
      <c r="S101" s="53">
        <f t="shared" si="18"/>
        <v>-4.124765818950153E-4</v>
      </c>
      <c r="T101" s="16">
        <f t="shared" si="19"/>
        <v>1.4388510886690114E-2</v>
      </c>
      <c r="U101" s="135">
        <f t="shared" si="20"/>
        <v>3.3975632468763464</v>
      </c>
      <c r="V101" s="30">
        <f t="shared" si="16"/>
        <v>5.3269222542716221</v>
      </c>
    </row>
    <row r="102" spans="1:22" x14ac:dyDescent="0.2">
      <c r="A102" s="5"/>
      <c r="B102" s="14">
        <v>26</v>
      </c>
      <c r="C102" s="2" t="s">
        <v>77</v>
      </c>
      <c r="D102" s="14">
        <v>13</v>
      </c>
      <c r="E102" s="14">
        <v>13</v>
      </c>
      <c r="F102" s="92">
        <v>25.979749591160211</v>
      </c>
      <c r="G102" s="55">
        <f t="shared" si="13"/>
        <v>1.9984422762430931</v>
      </c>
      <c r="H102" s="99">
        <v>23.8</v>
      </c>
      <c r="J102" s="41">
        <f>$J$10*$J$11*G102*$J$15</f>
        <v>6.0439698941313873</v>
      </c>
      <c r="K102" s="42">
        <f>$J$7*(1+$J$6*(J102-$J$16)/$J$16)</f>
        <v>106.81373778362382</v>
      </c>
      <c r="L102" s="43">
        <f>$J$13/K102*$J$8/1000000</f>
        <v>246.6639182244628</v>
      </c>
      <c r="M102" s="43">
        <f>L102-$M$17</f>
        <v>3.5646832926580316</v>
      </c>
      <c r="N102" s="30">
        <f>IF(ABS(M102)&gt;$M$15,M102-$M$15*SIGN(M102)*INT(M102/$M$15),M102)</f>
        <v>1.6353242852627556</v>
      </c>
      <c r="O102" s="46"/>
      <c r="P102" s="8">
        <f t="shared" si="17"/>
        <v>1.0015418426550182</v>
      </c>
      <c r="Q102" s="111">
        <f t="shared" si="14"/>
        <v>1.415304229693676</v>
      </c>
      <c r="R102" s="119">
        <f t="shared" si="15"/>
        <v>0.70765127499957303</v>
      </c>
      <c r="S102" s="53">
        <f t="shared" si="18"/>
        <v>-4.1619313475214079E-4</v>
      </c>
      <c r="T102" s="16">
        <f t="shared" si="19"/>
        <v>1.4451579778337033E-2</v>
      </c>
      <c r="U102" s="135">
        <f t="shared" si="20"/>
        <v>3.4119917550275587</v>
      </c>
      <c r="V102" s="30">
        <f t="shared" si="16"/>
        <v>5.3413507624228345</v>
      </c>
    </row>
    <row r="103" spans="1:22" x14ac:dyDescent="0.2">
      <c r="A103" s="5"/>
      <c r="B103" s="14">
        <v>24</v>
      </c>
      <c r="C103" s="2" t="s">
        <v>78</v>
      </c>
      <c r="D103" s="14">
        <v>12</v>
      </c>
      <c r="E103" s="14">
        <v>12</v>
      </c>
      <c r="F103" s="92">
        <v>23.978449631111353</v>
      </c>
      <c r="G103" s="55">
        <f t="shared" si="13"/>
        <v>1.9982041359259461</v>
      </c>
      <c r="H103" s="99">
        <v>20</v>
      </c>
      <c r="J103" s="41">
        <f>$J$10*$J$11*G103*$J$15</f>
        <v>6.0432496767278003</v>
      </c>
      <c r="K103" s="42">
        <f>$J$7*(1+$J$6*(J103-$J$16)/$J$16)</f>
        <v>106.80729263379581</v>
      </c>
      <c r="L103" s="43">
        <f>$J$13/K103*$J$8/1000000</f>
        <v>246.67880284395761</v>
      </c>
      <c r="M103" s="43">
        <f>L103-$M$17</f>
        <v>3.5795679121528394</v>
      </c>
      <c r="N103" s="30">
        <f>IF(ABS(M103)&gt;$M$15,M103-$M$15*SIGN(M103)*INT(M103/$M$15),M103)</f>
        <v>1.6502089047575634</v>
      </c>
      <c r="O103" s="46"/>
      <c r="P103" s="8">
        <f t="shared" si="17"/>
        <v>1.0016612035790389</v>
      </c>
      <c r="Q103" s="111">
        <f t="shared" si="14"/>
        <v>1.4153886981163191</v>
      </c>
      <c r="R103" s="119">
        <f t="shared" si="15"/>
        <v>0.70769337420321876</v>
      </c>
      <c r="S103" s="53">
        <f t="shared" si="18"/>
        <v>-4.1971352743115783E-4</v>
      </c>
      <c r="T103" s="16">
        <f t="shared" si="19"/>
        <v>1.4511047852040868E-2</v>
      </c>
      <c r="U103" s="135">
        <f t="shared" si="20"/>
        <v>3.4255925934809004</v>
      </c>
      <c r="V103" s="30">
        <f t="shared" si="16"/>
        <v>5.3549516008761762</v>
      </c>
    </row>
    <row r="104" spans="1:22" x14ac:dyDescent="0.2">
      <c r="A104" s="5"/>
      <c r="B104" s="14">
        <v>30</v>
      </c>
      <c r="C104" s="2" t="s">
        <v>75</v>
      </c>
      <c r="D104" s="14">
        <v>15</v>
      </c>
      <c r="E104" s="14">
        <v>15</v>
      </c>
      <c r="F104" s="92">
        <v>29.970071160853124</v>
      </c>
      <c r="G104" s="55">
        <f t="shared" si="13"/>
        <v>1.9980047440568749</v>
      </c>
      <c r="H104" s="99">
        <v>31.4</v>
      </c>
      <c r="J104" s="41">
        <f>$J$10*$J$11*G104*$J$15</f>
        <v>6.0426466478246752</v>
      </c>
      <c r="K104" s="42">
        <f>$J$7*(1+$J$6*(J104-$J$16)/$J$16)</f>
        <v>106.80189619153836</v>
      </c>
      <c r="L104" s="43">
        <f>$J$13/K104*$J$8/1000000</f>
        <v>246.69126692898936</v>
      </c>
      <c r="M104" s="43">
        <f>L104-$M$17</f>
        <v>3.5920319971845913</v>
      </c>
      <c r="N104" s="30">
        <f>IF(ABS(M104)&gt;$M$15,M104-$M$15*SIGN(M104)*INT(M104/$M$15),M104)</f>
        <v>1.6626729897893153</v>
      </c>
      <c r="O104" s="46"/>
      <c r="P104" s="8">
        <f t="shared" si="17"/>
        <v>1.0017611648529807</v>
      </c>
      <c r="Q104" s="111">
        <f t="shared" si="14"/>
        <v>1.4154594418094786</v>
      </c>
      <c r="R104" s="119">
        <f t="shared" si="15"/>
        <v>0.7077286252528443</v>
      </c>
      <c r="S104" s="53">
        <f t="shared" si="18"/>
        <v>-4.226730825193583E-4</v>
      </c>
      <c r="T104" s="16">
        <f t="shared" si="19"/>
        <v>1.4560839716383406E-2</v>
      </c>
      <c r="U104" s="135">
        <f t="shared" si="20"/>
        <v>3.4369774920307199</v>
      </c>
      <c r="V104" s="30">
        <f t="shared" si="16"/>
        <v>5.3663364994259961</v>
      </c>
    </row>
    <row r="105" spans="1:22" x14ac:dyDescent="0.2">
      <c r="A105" s="5"/>
      <c r="B105" s="14">
        <v>34</v>
      </c>
      <c r="C105" s="2" t="s">
        <v>74</v>
      </c>
      <c r="D105" s="14">
        <v>17</v>
      </c>
      <c r="E105" s="14">
        <v>17</v>
      </c>
      <c r="F105" s="92">
        <v>33.964419263339629</v>
      </c>
      <c r="G105" s="55">
        <f t="shared" si="13"/>
        <v>1.9979070154905665</v>
      </c>
      <c r="H105" s="99">
        <v>34.299999999999997</v>
      </c>
      <c r="J105" s="41">
        <f>$J$10*$J$11*G105*$J$15</f>
        <v>6.0423510833645029</v>
      </c>
      <c r="K105" s="42">
        <f>$J$7*(1+$J$6*(J105-$J$16)/$J$16)</f>
        <v>106.79925121625706</v>
      </c>
      <c r="L105" s="43">
        <f>$J$13/K105*$J$8/1000000</f>
        <v>246.69737645031753</v>
      </c>
      <c r="M105" s="43">
        <f>L105-$M$17</f>
        <v>3.5981415185127616</v>
      </c>
      <c r="N105" s="30">
        <f>IF(ABS(M105)&gt;$M$15,M105-$M$15*SIGN(M105)*INT(M105/$M$15),M105)</f>
        <v>1.6687825111174857</v>
      </c>
      <c r="O105" s="46"/>
      <c r="P105" s="8">
        <f t="shared" si="17"/>
        <v>1.0018101664740098</v>
      </c>
      <c r="Q105" s="111">
        <f t="shared" si="14"/>
        <v>1.4154941220827033</v>
      </c>
      <c r="R105" s="119">
        <f t="shared" si="15"/>
        <v>0.70774590360006928</v>
      </c>
      <c r="S105" s="53">
        <f t="shared" si="18"/>
        <v>-4.2412764617418469E-4</v>
      </c>
      <c r="T105" s="16">
        <f t="shared" si="19"/>
        <v>1.4585244360056595E-2</v>
      </c>
      <c r="U105" s="135">
        <f t="shared" si="20"/>
        <v>3.442556638924807</v>
      </c>
      <c r="V105" s="30">
        <f t="shared" si="16"/>
        <v>5.3719156463200832</v>
      </c>
    </row>
    <row r="106" spans="1:22" x14ac:dyDescent="0.2">
      <c r="A106" s="5"/>
      <c r="B106" s="14">
        <v>38</v>
      </c>
      <c r="C106" s="2" t="s">
        <v>72</v>
      </c>
      <c r="D106" s="14">
        <v>19</v>
      </c>
      <c r="E106" s="14">
        <v>19</v>
      </c>
      <c r="F106" s="92">
        <v>37.958636898619716</v>
      </c>
      <c r="G106" s="55">
        <f t="shared" si="13"/>
        <v>1.9978229946641957</v>
      </c>
      <c r="H106" s="99">
        <v>32.200000000000003</v>
      </c>
      <c r="J106" s="41">
        <f>$J$10*$J$11*G106*$J$15</f>
        <v>6.0420969757772571</v>
      </c>
      <c r="K106" s="42">
        <f>$J$7*(1+$J$6*(J106-$J$16)/$J$16)</f>
        <v>106.7969772341732</v>
      </c>
      <c r="L106" s="43">
        <f>$J$13/K106*$J$8/1000000</f>
        <v>246.70262927140584</v>
      </c>
      <c r="M106" s="43">
        <f>L106-$M$17</f>
        <v>3.603394339601067</v>
      </c>
      <c r="N106" s="30">
        <f>IF(ABS(M106)&gt;$M$15,M106-$M$15*SIGN(M106)*INT(M106/$M$15),M106)</f>
        <v>1.674035332205791</v>
      </c>
      <c r="O106" s="46"/>
      <c r="P106" s="8">
        <f t="shared" si="17"/>
        <v>1.0018522987941796</v>
      </c>
      <c r="Q106" s="111">
        <f t="shared" si="14"/>
        <v>1.4155239413726572</v>
      </c>
      <c r="R106" s="119">
        <f t="shared" si="15"/>
        <v>0.70776075876375966</v>
      </c>
      <c r="S106" s="53">
        <f t="shared" si="18"/>
        <v>-4.2538028556669523E-4</v>
      </c>
      <c r="T106" s="16">
        <f t="shared" si="19"/>
        <v>1.460622592569466E-2</v>
      </c>
      <c r="U106" s="135">
        <f t="shared" si="20"/>
        <v>3.4473527258011276</v>
      </c>
      <c r="V106" s="30">
        <f t="shared" si="16"/>
        <v>5.3767117331964034</v>
      </c>
    </row>
    <row r="107" spans="1:22" x14ac:dyDescent="0.2">
      <c r="A107" s="5"/>
      <c r="B107" s="14">
        <v>42</v>
      </c>
      <c r="C107" s="2" t="s">
        <v>71</v>
      </c>
      <c r="D107" s="14">
        <v>21</v>
      </c>
      <c r="E107" s="14">
        <v>21</v>
      </c>
      <c r="F107" s="92">
        <v>41.953970066693387</v>
      </c>
      <c r="G107" s="55">
        <f t="shared" si="13"/>
        <v>1.9978080984139708</v>
      </c>
      <c r="H107" s="99">
        <v>25.1</v>
      </c>
      <c r="J107" s="41">
        <f>$J$10*$J$11*G107*$J$15</f>
        <v>6.0420519244445439</v>
      </c>
      <c r="K107" s="42">
        <f>$J$7*(1+$J$6*(J107-$J$16)/$J$16)</f>
        <v>106.79657407453303</v>
      </c>
      <c r="L107" s="43">
        <f>$J$13/K107*$J$8/1000000</f>
        <v>246.70356057977511</v>
      </c>
      <c r="M107" s="43">
        <f>L107-$M$17</f>
        <v>3.6043256479703416</v>
      </c>
      <c r="N107" s="30">
        <f>IF(ABS(M107)&gt;$M$15,M107-$M$15*SIGN(M107)*INT(M107/$M$15),M107)</f>
        <v>1.6749666405750656</v>
      </c>
      <c r="O107" s="46"/>
      <c r="P107" s="8">
        <f t="shared" si="17"/>
        <v>1.0018597689023161</v>
      </c>
      <c r="Q107" s="111">
        <f t="shared" si="14"/>
        <v>1.4155292284318972</v>
      </c>
      <c r="R107" s="119">
        <f t="shared" si="15"/>
        <v>0.70776339250314313</v>
      </c>
      <c r="S107" s="53">
        <f t="shared" si="18"/>
        <v>-4.2560257140570565E-4</v>
      </c>
      <c r="T107" s="16">
        <f t="shared" si="19"/>
        <v>1.4609945796890289E-2</v>
      </c>
      <c r="U107" s="135">
        <f t="shared" si="20"/>
        <v>3.44820298612543</v>
      </c>
      <c r="V107" s="30">
        <f t="shared" si="16"/>
        <v>5.3775619935207057</v>
      </c>
    </row>
    <row r="108" spans="1:22" x14ac:dyDescent="0.2">
      <c r="A108" s="5"/>
      <c r="B108" s="14">
        <v>28</v>
      </c>
      <c r="C108" s="2" t="s">
        <v>76</v>
      </c>
      <c r="D108" s="14">
        <v>14</v>
      </c>
      <c r="E108" s="14">
        <v>14</v>
      </c>
      <c r="F108" s="92">
        <v>27.969234434407468</v>
      </c>
      <c r="G108" s="55">
        <f t="shared" si="13"/>
        <v>1.9978024596005335</v>
      </c>
      <c r="H108" s="99">
        <v>27.2</v>
      </c>
      <c r="J108" s="41">
        <f>$J$10*$J$11*G108*$J$15</f>
        <v>6.0420348707527474</v>
      </c>
      <c r="K108" s="42">
        <f>$J$7*(1+$J$6*(J108-$J$16)/$J$16)</f>
        <v>106.79642146283798</v>
      </c>
      <c r="L108" s="43">
        <f>$J$13/K108*$J$8/1000000</f>
        <v>246.70391311825946</v>
      </c>
      <c r="M108" s="43">
        <f>L108-$M$17</f>
        <v>3.6046781864546915</v>
      </c>
      <c r="N108" s="30">
        <f>IF(ABS(M108)&gt;$M$15,M108-$M$15*SIGN(M108)*INT(M108/$M$15),M108)</f>
        <v>1.6753191790594155</v>
      </c>
      <c r="O108" s="46"/>
      <c r="P108" s="8">
        <f t="shared" si="17"/>
        <v>1.0018625966595351</v>
      </c>
      <c r="Q108" s="111">
        <f t="shared" si="14"/>
        <v>1.4155312298163494</v>
      </c>
      <c r="R108" s="119">
        <f t="shared" si="15"/>
        <v>0.70776438947907672</v>
      </c>
      <c r="S108" s="53">
        <f t="shared" si="18"/>
        <v>-4.2568673120222848E-4</v>
      </c>
      <c r="T108" s="16">
        <f t="shared" si="19"/>
        <v>1.4611353913655697E-2</v>
      </c>
      <c r="U108" s="135">
        <f t="shared" si="20"/>
        <v>3.4485248390516485</v>
      </c>
      <c r="V108" s="30">
        <f t="shared" si="16"/>
        <v>5.3778838464469247</v>
      </c>
    </row>
    <row r="109" spans="1:22" x14ac:dyDescent="0.2">
      <c r="A109" s="5"/>
      <c r="B109" s="14">
        <v>46</v>
      </c>
      <c r="C109" s="2" t="s">
        <v>69</v>
      </c>
      <c r="D109" s="14">
        <v>23</v>
      </c>
      <c r="E109" s="14">
        <v>23</v>
      </c>
      <c r="F109" s="92">
        <v>45.947551767560647</v>
      </c>
      <c r="G109" s="55">
        <f t="shared" si="13"/>
        <v>1.9977196420678542</v>
      </c>
      <c r="H109" s="99">
        <v>18.2</v>
      </c>
      <c r="J109" s="41">
        <f>$J$10*$J$11*G109*$J$15</f>
        <v>6.0417844023353346</v>
      </c>
      <c r="K109" s="42">
        <f>$J$7*(1+$J$6*(J109-$J$16)/$J$16)</f>
        <v>106.79418004730239</v>
      </c>
      <c r="L109" s="43">
        <f>$J$13/K109*$J$8/1000000</f>
        <v>246.70909098453748</v>
      </c>
      <c r="M109" s="43">
        <f>L109-$M$17</f>
        <v>3.6098560527327095</v>
      </c>
      <c r="N109" s="30">
        <f>IF(ABS(M109)&gt;$M$15,M109-$M$15*SIGN(M109)*INT(M109/$M$15),M109)</f>
        <v>1.6804970453374335</v>
      </c>
      <c r="O109" s="46"/>
      <c r="P109" s="8">
        <f t="shared" si="17"/>
        <v>1.0019041299090421</v>
      </c>
      <c r="Q109" s="111">
        <f t="shared" si="14"/>
        <v>1.4155606258754143</v>
      </c>
      <c r="R109" s="119">
        <f t="shared" si="15"/>
        <v>0.70777903227524586</v>
      </c>
      <c r="S109" s="53">
        <f t="shared" si="18"/>
        <v>-4.2692379700689939E-4</v>
      </c>
      <c r="T109" s="16">
        <f t="shared" si="19"/>
        <v>1.4632034994441784E-2</v>
      </c>
      <c r="U109" s="135">
        <f t="shared" si="20"/>
        <v>3.4532516642176341</v>
      </c>
      <c r="V109" s="30">
        <f t="shared" si="16"/>
        <v>5.3826106716129098</v>
      </c>
    </row>
    <row r="110" spans="1:22" x14ac:dyDescent="0.2">
      <c r="B110" s="14">
        <v>32</v>
      </c>
      <c r="C110" s="2" t="s">
        <v>45</v>
      </c>
      <c r="D110" s="14">
        <v>16</v>
      </c>
      <c r="E110" s="14">
        <v>16</v>
      </c>
      <c r="F110" s="92">
        <v>31.963278770497173</v>
      </c>
      <c r="G110" s="55">
        <f t="shared" si="13"/>
        <v>1.9977049231560733</v>
      </c>
      <c r="H110" s="99">
        <v>33.4</v>
      </c>
      <c r="J110" s="41">
        <f>$J$10*$J$11*G110*$J$15</f>
        <v>6.0417398873344581</v>
      </c>
      <c r="K110" s="42">
        <f>$J$7*(1+$J$6*(J110-$J$16)/$J$16)</f>
        <v>106.79378168723942</v>
      </c>
      <c r="L110" s="43">
        <f>$J$13/K110*$J$8/1000000</f>
        <v>246.71001125393394</v>
      </c>
      <c r="M110" s="43">
        <f>L110-$M$17</f>
        <v>3.6107763221291691</v>
      </c>
      <c r="N110" s="30">
        <f>IF(ABS(M110)&gt;$M$15,M110-$M$15*SIGN(M110)*INT(M110/$M$15),M110)</f>
        <v>1.6814173147338931</v>
      </c>
      <c r="O110" s="46"/>
      <c r="P110" s="8">
        <f t="shared" si="17"/>
        <v>1.0019115118493527</v>
      </c>
      <c r="Q110" s="111">
        <f t="shared" si="14"/>
        <v>1.4155658506675892</v>
      </c>
      <c r="R110" s="119">
        <f t="shared" si="15"/>
        <v>0.70778163472709188</v>
      </c>
      <c r="S110" s="53">
        <f t="shared" si="18"/>
        <v>-4.2714385430434623E-4</v>
      </c>
      <c r="T110" s="16">
        <f t="shared" si="19"/>
        <v>1.463571058092426E-2</v>
      </c>
      <c r="U110" s="135">
        <f t="shared" si="20"/>
        <v>3.454091700718799</v>
      </c>
      <c r="V110" s="30">
        <f t="shared" si="16"/>
        <v>5.3834507081140748</v>
      </c>
    </row>
    <row r="111" spans="1:22" x14ac:dyDescent="0.2">
      <c r="A111" s="5"/>
      <c r="B111" s="14">
        <v>36</v>
      </c>
      <c r="C111" s="2" t="s">
        <v>73</v>
      </c>
      <c r="D111" s="14">
        <v>18</v>
      </c>
      <c r="E111" s="14">
        <v>18</v>
      </c>
      <c r="F111" s="92">
        <v>35.957651639380465</v>
      </c>
      <c r="G111" s="55">
        <f t="shared" si="13"/>
        <v>1.9976473132989148</v>
      </c>
      <c r="H111" s="99">
        <v>34.700000000000003</v>
      </c>
      <c r="J111" s="41">
        <f>$J$10*$J$11*G111*$J$15</f>
        <v>6.0415656555107979</v>
      </c>
      <c r="K111" s="42">
        <f>$J$7*(1+$J$6*(J111-$J$16)/$J$16)</f>
        <v>106.79222250496653</v>
      </c>
      <c r="L111" s="43">
        <f>$J$13/K111*$J$8/1000000</f>
        <v>246.71361325665541</v>
      </c>
      <c r="M111" s="43">
        <f>L111-$M$17</f>
        <v>3.6143783248506338</v>
      </c>
      <c r="N111" s="30">
        <f>IF(ABS(M111)&gt;$M$15,M111-$M$15*SIGN(M111)*INT(M111/$M$15),M111)</f>
        <v>1.6850193174553578</v>
      </c>
      <c r="O111" s="46"/>
      <c r="P111" s="8">
        <f t="shared" si="17"/>
        <v>1.0019404058281343</v>
      </c>
      <c r="Q111" s="111">
        <f t="shared" si="14"/>
        <v>1.4155863014422845</v>
      </c>
      <c r="R111" s="119">
        <f t="shared" si="15"/>
        <v>0.70779182082173098</v>
      </c>
      <c r="S111" s="53">
        <f t="shared" si="18"/>
        <v>-4.2800573184459758E-4</v>
      </c>
      <c r="T111" s="16">
        <f t="shared" si="19"/>
        <v>1.4650096835518248E-2</v>
      </c>
      <c r="U111" s="135">
        <f t="shared" si="20"/>
        <v>3.4573794664334914</v>
      </c>
      <c r="V111" s="30">
        <f t="shared" si="16"/>
        <v>5.3867384738287676</v>
      </c>
    </row>
    <row r="112" spans="1:22" x14ac:dyDescent="0.2">
      <c r="A112" s="5"/>
      <c r="B112" s="14">
        <v>50</v>
      </c>
      <c r="C112" s="2" t="s">
        <v>60</v>
      </c>
      <c r="D112" s="14">
        <v>25</v>
      </c>
      <c r="E112" s="14">
        <v>25</v>
      </c>
      <c r="F112" s="92">
        <v>49.940487001221491</v>
      </c>
      <c r="G112" s="55">
        <f t="shared" si="13"/>
        <v>1.9976194800488596</v>
      </c>
      <c r="H112" s="99">
        <v>8.91</v>
      </c>
      <c r="I112" s="100">
        <v>0.28299999999999997</v>
      </c>
      <c r="J112" s="41">
        <f>$J$10*$J$11*G112*$J$15</f>
        <v>6.0414814782856716</v>
      </c>
      <c r="K112" s="42">
        <f>$J$7*(1+$J$6*(J112-$J$16)/$J$16)</f>
        <v>106.79146921182846</v>
      </c>
      <c r="L112" s="43">
        <f>$J$13/K112*$J$8/1000000</f>
        <v>246.71535354240393</v>
      </c>
      <c r="M112" s="43">
        <f>L112-$M$17</f>
        <v>3.616118610599159</v>
      </c>
      <c r="N112" s="30">
        <f>IF(ABS(M112)&gt;$M$15,M112-$M$15*SIGN(M112)*INT(M112/$M$15),M112)</f>
        <v>1.686759603203883</v>
      </c>
      <c r="O112" s="46"/>
      <c r="P112" s="8">
        <f t="shared" si="17"/>
        <v>1.0019543660733832</v>
      </c>
      <c r="Q112" s="111">
        <f t="shared" si="14"/>
        <v>1.4155961824240397</v>
      </c>
      <c r="R112" s="119">
        <f t="shared" si="15"/>
        <v>0.70779674211727228</v>
      </c>
      <c r="S112" s="53">
        <f t="shared" si="18"/>
        <v>-4.2842246063511471E-4</v>
      </c>
      <c r="T112" s="16">
        <f t="shared" si="19"/>
        <v>1.4657047316585582E-2</v>
      </c>
      <c r="U112" s="135">
        <f t="shared" si="20"/>
        <v>3.4589678166132196</v>
      </c>
      <c r="V112" s="30">
        <f t="shared" si="16"/>
        <v>5.3883268240084954</v>
      </c>
    </row>
    <row r="113" spans="1:22" x14ac:dyDescent="0.2">
      <c r="B113" s="14">
        <v>44</v>
      </c>
      <c r="C113" s="2" t="s">
        <v>70</v>
      </c>
      <c r="D113" s="14">
        <v>22</v>
      </c>
      <c r="E113" s="14">
        <v>22</v>
      </c>
      <c r="F113" s="92">
        <v>43.947592975527819</v>
      </c>
      <c r="G113" s="55">
        <f t="shared" si="13"/>
        <v>1.9976178625239918</v>
      </c>
      <c r="H113" s="99">
        <v>21.1</v>
      </c>
      <c r="J113" s="41">
        <f>$J$10*$J$11*G113*$J$15</f>
        <v>6.0414765863397184</v>
      </c>
      <c r="K113" s="42">
        <f>$J$7*(1+$J$6*(J113-$J$16)/$J$16)</f>
        <v>106.79142543431841</v>
      </c>
      <c r="L113" s="43">
        <f>$J$13/K113*$J$8/1000000</f>
        <v>246.71545467958626</v>
      </c>
      <c r="M113" s="43">
        <f>L113-$M$17</f>
        <v>3.6162197477814857</v>
      </c>
      <c r="N113" s="30">
        <f>IF(ABS(M113)&gt;$M$15,M113-$M$15*SIGN(M113)*INT(M113/$M$15),M113)</f>
        <v>1.6868607403862097</v>
      </c>
      <c r="O113" s="46"/>
      <c r="P113" s="8">
        <f t="shared" si="17"/>
        <v>1.0019551773827602</v>
      </c>
      <c r="Q113" s="111">
        <f t="shared" si="14"/>
        <v>1.4155967566662897</v>
      </c>
      <c r="R113" s="119">
        <f t="shared" si="15"/>
        <v>0.70779702811862222</v>
      </c>
      <c r="S113" s="53">
        <f t="shared" si="18"/>
        <v>-4.2844668531082455E-4</v>
      </c>
      <c r="T113" s="16">
        <f t="shared" si="19"/>
        <v>1.4657451242679231E-2</v>
      </c>
      <c r="U113" s="135">
        <f t="shared" si="20"/>
        <v>3.4590601217374233</v>
      </c>
      <c r="V113" s="30">
        <f t="shared" si="16"/>
        <v>5.388419129132699</v>
      </c>
    </row>
    <row r="114" spans="1:22" x14ac:dyDescent="0.2">
      <c r="B114" s="14">
        <v>40</v>
      </c>
      <c r="C114" s="2" t="s">
        <v>44</v>
      </c>
      <c r="D114" s="14">
        <v>20</v>
      </c>
      <c r="E114" s="14">
        <v>20</v>
      </c>
      <c r="F114" s="92">
        <v>39.951595041057345</v>
      </c>
      <c r="G114" s="55">
        <f t="shared" si="13"/>
        <v>1.9975797520528673</v>
      </c>
      <c r="H114" s="99">
        <v>28.6</v>
      </c>
      <c r="J114" s="41">
        <f>$J$10*$J$11*G114*$J$15</f>
        <v>6.0413613272987821</v>
      </c>
      <c r="K114" s="42">
        <f>$J$7*(1+$J$6*(J114-$J$16)/$J$16)</f>
        <v>106.7903939932783</v>
      </c>
      <c r="L114" s="43">
        <f>$J$13/K114*$J$8/1000000</f>
        <v>246.71783759471256</v>
      </c>
      <c r="M114" s="43">
        <f>L114-$M$17</f>
        <v>3.6186026629077901</v>
      </c>
      <c r="N114" s="30">
        <f>IF(ABS(M114)&gt;$M$15,M114-$M$15*SIGN(M114)*INT(M114/$M$15),M114)</f>
        <v>1.6892436555125141</v>
      </c>
      <c r="O114" s="46"/>
      <c r="P114" s="8">
        <f t="shared" si="17"/>
        <v>1.0019742930069631</v>
      </c>
      <c r="Q114" s="111">
        <f t="shared" si="14"/>
        <v>1.4156102867126967</v>
      </c>
      <c r="R114" s="119">
        <f t="shared" si="15"/>
        <v>0.70780376662402522</v>
      </c>
      <c r="S114" s="53">
        <f t="shared" si="18"/>
        <v>-4.2901765056341278E-4</v>
      </c>
      <c r="T114" s="16">
        <f t="shared" si="19"/>
        <v>1.4666968137310433E-2</v>
      </c>
      <c r="U114" s="135">
        <f t="shared" si="20"/>
        <v>3.4612348703251179</v>
      </c>
      <c r="V114" s="30">
        <f t="shared" si="16"/>
        <v>5.3905938777203941</v>
      </c>
    </row>
    <row r="115" spans="1:22" x14ac:dyDescent="0.2">
      <c r="B115" s="14">
        <v>54</v>
      </c>
      <c r="C115" s="2" t="s">
        <v>58</v>
      </c>
      <c r="D115" s="14">
        <v>27</v>
      </c>
      <c r="E115" s="14">
        <v>27</v>
      </c>
      <c r="F115" s="92">
        <v>53.933604767675931</v>
      </c>
      <c r="G115" s="55">
        <f t="shared" si="13"/>
        <v>1.9975409173213308</v>
      </c>
      <c r="H115" s="99">
        <v>3.29</v>
      </c>
      <c r="I115" s="100">
        <v>0.193</v>
      </c>
      <c r="J115" s="41">
        <f>$J$10*$J$11*G115*$J$15</f>
        <v>6.0412438778477551</v>
      </c>
      <c r="K115" s="42">
        <f>$J$7*(1+$J$6*(J115-$J$16)/$J$16)</f>
        <v>106.78934295048855</v>
      </c>
      <c r="L115" s="43">
        <f>$J$13/K115*$J$8/1000000</f>
        <v>246.72026584267383</v>
      </c>
      <c r="M115" s="43">
        <f>L115-$M$17</f>
        <v>3.6210309108690524</v>
      </c>
      <c r="N115" s="30">
        <f>IF(ABS(M115)&gt;$M$15,M115-$M$15*SIGN(M115)*INT(M115/$M$15),M115)</f>
        <v>1.6916719034737764</v>
      </c>
      <c r="O115" s="46"/>
      <c r="P115" s="8">
        <f t="shared" si="17"/>
        <v>1.0019937726593389</v>
      </c>
      <c r="Q115" s="111">
        <f t="shared" si="14"/>
        <v>1.415624074550901</v>
      </c>
      <c r="R115" s="119">
        <f t="shared" si="15"/>
        <v>0.70781063325531246</v>
      </c>
      <c r="S115" s="53">
        <f t="shared" si="18"/>
        <v>-4.2959987741283446E-4</v>
      </c>
      <c r="T115" s="16">
        <f t="shared" si="19"/>
        <v>1.4676665893259286E-2</v>
      </c>
      <c r="U115" s="135">
        <f t="shared" si="20"/>
        <v>3.4634508484751882</v>
      </c>
      <c r="V115" s="30">
        <f t="shared" si="16"/>
        <v>5.392809855870464</v>
      </c>
    </row>
    <row r="116" spans="1:22" x14ac:dyDescent="0.2">
      <c r="B116" s="14">
        <v>48</v>
      </c>
      <c r="C116" s="2" t="s">
        <v>46</v>
      </c>
      <c r="D116" s="14">
        <v>24</v>
      </c>
      <c r="E116" s="14">
        <v>24</v>
      </c>
      <c r="F116" s="92">
        <v>47.940831442791868</v>
      </c>
      <c r="G116" s="55">
        <f t="shared" si="13"/>
        <v>1.9975346434496613</v>
      </c>
      <c r="H116" s="99">
        <v>13.8</v>
      </c>
      <c r="I116">
        <f>21*3600</f>
        <v>75600</v>
      </c>
      <c r="J116" s="41">
        <f>$J$10*$J$11*G116*$J$15</f>
        <v>6.0412249035236325</v>
      </c>
      <c r="K116" s="42">
        <f>$J$7*(1+$J$6*(J116-$J$16)/$J$16)</f>
        <v>106.78917315125676</v>
      </c>
      <c r="L116" s="43">
        <f>$J$13/K116*$J$8/1000000</f>
        <v>246.72065813816943</v>
      </c>
      <c r="M116" s="43">
        <f>L116-$M$17</f>
        <v>3.6214232063646534</v>
      </c>
      <c r="N116" s="30">
        <f>IF(ABS(M116)&gt;$M$15,M116-$M$15*SIGN(M116)*INT(M116/$M$15),M116)</f>
        <v>1.6920641989693774</v>
      </c>
      <c r="O116" s="46"/>
      <c r="P116" s="8">
        <f t="shared" si="17"/>
        <v>1.0019969197288348</v>
      </c>
      <c r="Q116" s="111">
        <f t="shared" si="14"/>
        <v>1.4156263020818993</v>
      </c>
      <c r="R116" s="119">
        <f t="shared" si="15"/>
        <v>0.70781174258718005</v>
      </c>
      <c r="S116" s="53">
        <f t="shared" si="18"/>
        <v>-4.2969397688430542E-4</v>
      </c>
      <c r="T116" s="16">
        <f t="shared" si="19"/>
        <v>1.4678232595896333E-2</v>
      </c>
      <c r="U116" s="135">
        <f t="shared" si="20"/>
        <v>3.4638088371780977</v>
      </c>
      <c r="V116" s="30">
        <f t="shared" si="16"/>
        <v>5.3931678445733739</v>
      </c>
    </row>
    <row r="117" spans="1:22" x14ac:dyDescent="0.2">
      <c r="A117" s="5"/>
      <c r="B117" s="14">
        <v>52</v>
      </c>
      <c r="C117" s="2" t="s">
        <v>59</v>
      </c>
      <c r="D117" s="14">
        <v>26</v>
      </c>
      <c r="E117" s="14">
        <v>26</v>
      </c>
      <c r="F117" s="92">
        <v>51.933810442849513</v>
      </c>
      <c r="G117" s="55">
        <f>F117/E117</f>
        <v>1.9974542478019044</v>
      </c>
      <c r="H117" s="99">
        <v>5.53</v>
      </c>
      <c r="I117">
        <f>8.3*3600</f>
        <v>29880.000000000004</v>
      </c>
      <c r="J117" s="41">
        <f>$J$10*$J$11*G117*$J$15</f>
        <v>6.0409817597108546</v>
      </c>
      <c r="K117" s="42">
        <f>$J$7*(1+$J$6*(J117-$J$16)/$J$16)</f>
        <v>106.78699728283799</v>
      </c>
      <c r="L117" s="43">
        <f>$J$13/K117*$J$8/1000000</f>
        <v>246.72568526414884</v>
      </c>
      <c r="M117" s="43">
        <f>L117-$M$17</f>
        <v>3.6264503323440636</v>
      </c>
      <c r="N117" s="30">
        <f>IF(ABS(M117)&gt;$M$15,M117-$M$15*SIGN(M117)*INT(M117/$M$15),M117)</f>
        <v>1.6970913249487876</v>
      </c>
      <c r="O117" s="46"/>
      <c r="P117" s="8">
        <f t="shared" si="17"/>
        <v>1.0020372491589082</v>
      </c>
      <c r="Q117" s="111">
        <f t="shared" si="14"/>
        <v>1.4156548480127322</v>
      </c>
      <c r="R117" s="119">
        <f t="shared" si="15"/>
        <v>0.70782595811793247</v>
      </c>
      <c r="S117" s="53">
        <f t="shared" si="18"/>
        <v>-4.3090075952802588E-4</v>
      </c>
      <c r="T117" s="16">
        <f t="shared" si="19"/>
        <v>1.4698308886897994E-2</v>
      </c>
      <c r="U117" s="135">
        <f t="shared" si="20"/>
        <v>3.4683960002234531</v>
      </c>
      <c r="V117" s="30">
        <f t="shared" si="16"/>
        <v>5.3977550076187288</v>
      </c>
    </row>
    <row r="118" spans="1:22" x14ac:dyDescent="0.2">
      <c r="A118" s="5"/>
      <c r="B118" s="14">
        <v>56</v>
      </c>
      <c r="C118" s="2" t="s">
        <v>43</v>
      </c>
      <c r="D118" s="14">
        <v>28</v>
      </c>
      <c r="E118" s="14">
        <v>28</v>
      </c>
      <c r="F118" s="92">
        <v>55.926724975700751</v>
      </c>
      <c r="G118" s="55">
        <f>F118/E118</f>
        <v>1.9973830348464554</v>
      </c>
      <c r="H118" s="99">
        <v>1.73</v>
      </c>
      <c r="I118">
        <f>24*3600*6</f>
        <v>518400</v>
      </c>
      <c r="J118" s="41">
        <f>$J$10*$J$11*G118*$J$15</f>
        <v>6.0407663874862365</v>
      </c>
      <c r="K118" s="42">
        <f>$J$7*(1+$J$6*(J118-$J$16)/$J$16)</f>
        <v>106.78506993944202</v>
      </c>
      <c r="L118" s="43">
        <f>$J$13/K118*$J$8/1000000</f>
        <v>246.73013836906676</v>
      </c>
      <c r="M118" s="43">
        <f>L118-$M$17</f>
        <v>3.6309034372619919</v>
      </c>
      <c r="N118" s="30">
        <f>IF(ABS(M118)&gt;$M$15,M118-$M$15*SIGN(M118)*INT(M118/$M$15),M118)</f>
        <v>1.7015444298667159</v>
      </c>
      <c r="O118" s="46"/>
      <c r="P118" s="8">
        <f t="shared" si="17"/>
        <v>1.0020729749224386</v>
      </c>
      <c r="Q118" s="111">
        <f t="shared" si="14"/>
        <v>1.4156801358604656</v>
      </c>
      <c r="R118" s="119">
        <f t="shared" si="15"/>
        <v>0.70783855020567055</v>
      </c>
      <c r="S118" s="53">
        <f t="shared" si="18"/>
        <v>-4.3197118980792091E-4</v>
      </c>
      <c r="T118" s="16">
        <f t="shared" si="19"/>
        <v>1.4716092088558458E-2</v>
      </c>
      <c r="U118" s="135">
        <f t="shared" si="20"/>
        <v>3.4724588621596593</v>
      </c>
      <c r="V118" s="30">
        <f t="shared" si="16"/>
        <v>5.401817869554935</v>
      </c>
    </row>
    <row r="119" spans="1:22" x14ac:dyDescent="0.2">
      <c r="A119" s="5"/>
      <c r="B119" s="14">
        <v>33</v>
      </c>
      <c r="C119" s="2" t="s">
        <v>74</v>
      </c>
      <c r="D119" s="14">
        <v>17</v>
      </c>
      <c r="E119" s="14">
        <v>17</v>
      </c>
      <c r="F119" s="92">
        <v>32.96810826333963</v>
      </c>
      <c r="G119" s="55">
        <f>F119/E119</f>
        <v>1.9393004860788017</v>
      </c>
      <c r="H119" s="99">
        <v>1.08</v>
      </c>
      <c r="J119" s="41">
        <f>$J$10*$J$11*G119*$J$15</f>
        <v>5.8651049834520599</v>
      </c>
      <c r="K119" s="42">
        <f>$J$7*(1+$J$6*(J119-$J$16)/$J$16)</f>
        <v>105.21309450207883</v>
      </c>
      <c r="L119" s="43">
        <f>$J$13/K119*$J$8/1000000</f>
        <v>250.41650192494271</v>
      </c>
      <c r="M119" s="43">
        <f>L119-$M$17</f>
        <v>7.3172669931379346</v>
      </c>
      <c r="N119" s="30">
        <f>IF(ABS(M119)&gt;$M$15,M119-$M$15*SIGN(M119)*INT(M119/$M$15),M119)</f>
        <v>1.5291899709521068</v>
      </c>
      <c r="O119" s="46"/>
      <c r="P119" s="8">
        <f t="shared" si="17"/>
        <v>1.0320853184723362</v>
      </c>
      <c r="Q119" s="111">
        <f t="shared" si="14"/>
        <v>1.4370804099305452</v>
      </c>
      <c r="R119" s="119">
        <f t="shared" si="15"/>
        <v>0.7181820247081494</v>
      </c>
      <c r="S119" s="53">
        <f t="shared" si="18"/>
        <v>-1.7937200323042497E-3</v>
      </c>
      <c r="T119" s="16">
        <f t="shared" si="19"/>
        <v>2.9220386583513194E-2</v>
      </c>
      <c r="U119" s="135">
        <f t="shared" si="20"/>
        <v>6.6674016553286153</v>
      </c>
      <c r="V119" s="30">
        <f t="shared" si="16"/>
        <v>12.455478677514442</v>
      </c>
    </row>
    <row r="120" spans="1:22" x14ac:dyDescent="0.2">
      <c r="A120" s="5"/>
      <c r="B120" s="14">
        <v>31</v>
      </c>
      <c r="C120" s="2" t="s">
        <v>45</v>
      </c>
      <c r="D120" s="14">
        <v>16</v>
      </c>
      <c r="E120" s="14">
        <v>16</v>
      </c>
      <c r="F120" s="92">
        <v>30.970761770497173</v>
      </c>
      <c r="G120" s="55">
        <f>F120/E120</f>
        <v>1.9356726106560733</v>
      </c>
      <c r="H120" s="99">
        <v>1.37</v>
      </c>
      <c r="J120" s="41">
        <f>$J$10*$J$11*G120*$J$15</f>
        <v>5.8541330529163185</v>
      </c>
      <c r="K120" s="42">
        <f>$J$7*(1+$J$6*(J120-$J$16)/$J$16)</f>
        <v>105.11490784919698</v>
      </c>
      <c r="L120" s="43">
        <f>$J$13/K120*$J$8/1000000</f>
        <v>250.65041316221141</v>
      </c>
      <c r="M120" s="43">
        <f>L120-$M$17</f>
        <v>7.5511782304066344</v>
      </c>
      <c r="N120" s="30">
        <f>IF(ABS(M120)&gt;$M$15,M120-$M$15*SIGN(M120)*INT(M120/$M$15),M120)</f>
        <v>1.7631012082208066</v>
      </c>
      <c r="O120" s="46"/>
      <c r="P120" s="8">
        <f t="shared" si="17"/>
        <v>1.0340196729393218</v>
      </c>
      <c r="Q120" s="111">
        <f t="shared" si="14"/>
        <v>1.4384702583041269</v>
      </c>
      <c r="R120" s="119">
        <f t="shared" si="15"/>
        <v>0.71883284827756588</v>
      </c>
      <c r="S120" s="53">
        <f t="shared" si="18"/>
        <v>-1.9129335746427578E-3</v>
      </c>
      <c r="T120" s="16">
        <f t="shared" si="19"/>
        <v>3.0126334663249748E-2</v>
      </c>
      <c r="U120" s="135">
        <f t="shared" si="20"/>
        <v>6.8586562194645069</v>
      </c>
      <c r="V120" s="30">
        <f t="shared" si="16"/>
        <v>12.646733241650335</v>
      </c>
    </row>
    <row r="121" spans="1:22" x14ac:dyDescent="0.2">
      <c r="A121" s="5"/>
      <c r="B121" s="14">
        <v>29</v>
      </c>
      <c r="C121" s="2" t="s">
        <v>75</v>
      </c>
      <c r="D121" s="14">
        <v>15</v>
      </c>
      <c r="E121" s="14">
        <v>15</v>
      </c>
      <c r="F121" s="92">
        <v>28.973558160853123</v>
      </c>
      <c r="G121" s="55">
        <f>F121/E121</f>
        <v>1.9315705440568749</v>
      </c>
      <c r="H121" s="99">
        <v>1.69</v>
      </c>
      <c r="J121" s="41">
        <f>$J$10*$J$11*G121*$J$15</f>
        <v>5.8417270068053018</v>
      </c>
      <c r="K121" s="42">
        <f>$J$7*(1+$J$6*(J121-$J$16)/$J$16)</f>
        <v>105.00388744680103</v>
      </c>
      <c r="L121" s="43">
        <f>$J$13/K121*$J$8/1000000</f>
        <v>250.91542534801337</v>
      </c>
      <c r="M121" s="43">
        <f>L121-$M$17</f>
        <v>7.8161904162085989</v>
      </c>
      <c r="N121" s="30">
        <f>IF(ABS(M121)&gt;$M$15,M121-$M$15*SIGN(M121)*INT(M121/$M$15),M121)</f>
        <v>9.8754386627494917E-2</v>
      </c>
      <c r="O121" s="46"/>
      <c r="P121" s="8">
        <f t="shared" si="17"/>
        <v>1.0362156152911708</v>
      </c>
      <c r="Q121" s="111">
        <f t="shared" si="14"/>
        <v>1.4400495829565243</v>
      </c>
      <c r="R121" s="119">
        <f t="shared" si="15"/>
        <v>0.71956940063393249</v>
      </c>
      <c r="S121" s="53">
        <f t="shared" si="18"/>
        <v>-2.0528454341915874E-3</v>
      </c>
      <c r="T121" s="16">
        <f t="shared" si="19"/>
        <v>3.115069711384915E-2</v>
      </c>
      <c r="U121" s="135">
        <f t="shared" si="20"/>
        <v>7.073665481483884</v>
      </c>
      <c r="V121" s="30">
        <f t="shared" si="16"/>
        <v>12.861742503669712</v>
      </c>
    </row>
    <row r="122" spans="1:22" x14ac:dyDescent="0.2">
      <c r="A122" s="5"/>
      <c r="B122" s="14">
        <v>27</v>
      </c>
      <c r="C122" s="2" t="s">
        <v>76</v>
      </c>
      <c r="D122" s="14">
        <v>14</v>
      </c>
      <c r="E122" s="14">
        <v>14</v>
      </c>
      <c r="F122" s="92">
        <v>26.979012434407469</v>
      </c>
      <c r="G122" s="55">
        <f>F122/E122</f>
        <v>1.9270723167433907</v>
      </c>
      <c r="H122" s="99">
        <v>1.88</v>
      </c>
      <c r="J122" s="41">
        <f>$J$10*$J$11*G122*$J$15</f>
        <v>5.8281228358052921</v>
      </c>
      <c r="K122" s="42">
        <f>$J$7*(1+$J$6*(J122-$J$16)/$J$16)</f>
        <v>104.88214515073273</v>
      </c>
      <c r="L122" s="43">
        <f>$J$13/K122*$J$8/1000000</f>
        <v>251.20667625594362</v>
      </c>
      <c r="M122" s="43">
        <f>L122-$M$17</f>
        <v>8.107441324138847</v>
      </c>
      <c r="N122" s="30">
        <f>IF(ABS(M122)&gt;$M$15,M122-$M$15*SIGN(M122)*INT(M122/$M$15),M122)</f>
        <v>0.39000529455774302</v>
      </c>
      <c r="O122" s="46"/>
      <c r="P122" s="8">
        <f t="shared" si="17"/>
        <v>1.0386343794147916</v>
      </c>
      <c r="Q122" s="111">
        <f t="shared" si="14"/>
        <v>1.4417910299701373</v>
      </c>
      <c r="R122" s="119">
        <f t="shared" si="15"/>
        <v>0.72037788960048121</v>
      </c>
      <c r="S122" s="53">
        <f t="shared" si="18"/>
        <v>-2.2125774093390447E-3</v>
      </c>
      <c r="T122" s="16">
        <f t="shared" si="19"/>
        <v>3.2273988275210108E-2</v>
      </c>
      <c r="U122" s="135">
        <f t="shared" si="20"/>
        <v>7.3079059824638986</v>
      </c>
      <c r="V122" s="30">
        <f t="shared" si="16"/>
        <v>13.095983004649726</v>
      </c>
    </row>
    <row r="123" spans="1:22" x14ac:dyDescent="0.2">
      <c r="A123" s="5"/>
      <c r="B123" s="14">
        <v>25</v>
      </c>
      <c r="C123" s="2" t="s">
        <v>77</v>
      </c>
      <c r="D123" s="14">
        <v>13</v>
      </c>
      <c r="E123" s="14">
        <v>13</v>
      </c>
      <c r="F123" s="92">
        <v>24.983286591160212</v>
      </c>
      <c r="G123" s="55">
        <f>F123/E123</f>
        <v>1.9217912762430933</v>
      </c>
      <c r="H123" s="99">
        <v>2.02</v>
      </c>
      <c r="J123" s="41">
        <f>$J$10*$J$11*G123*$J$15</f>
        <v>5.8121511711878435</v>
      </c>
      <c r="K123" s="42">
        <f>$J$7*(1+$J$6*(J123-$J$16)/$J$16)</f>
        <v>104.73921640317729</v>
      </c>
      <c r="L123" s="43">
        <f>$J$13/K123*$J$8/1000000</f>
        <v>251.54947675462805</v>
      </c>
      <c r="M123" s="43">
        <f>L123-$M$17</f>
        <v>8.4502418228232727</v>
      </c>
      <c r="N123" s="30">
        <f>IF(ABS(M123)&gt;$M$15,M123-$M$15*SIGN(M123)*INT(M123/$M$15),M123)</f>
        <v>0.73280579324216877</v>
      </c>
      <c r="O123" s="46"/>
      <c r="P123" s="8">
        <f t="shared" si="17"/>
        <v>1.0414885240300247</v>
      </c>
      <c r="Q123" s="111">
        <f t="shared" si="14"/>
        <v>1.443848449694856</v>
      </c>
      <c r="R123" s="119">
        <f t="shared" si="15"/>
        <v>0.72132814510424104</v>
      </c>
      <c r="S123" s="53">
        <f t="shared" si="18"/>
        <v>-2.4086292673193245E-3</v>
      </c>
      <c r="T123" s="16">
        <f t="shared" si="19"/>
        <v>3.3592762472990409E-2</v>
      </c>
      <c r="U123" s="135">
        <f t="shared" si="20"/>
        <v>7.5808389243101288</v>
      </c>
      <c r="V123" s="30">
        <f t="shared" si="16"/>
        <v>13.368915946495957</v>
      </c>
    </row>
    <row r="124" spans="1:22" x14ac:dyDescent="0.2">
      <c r="A124" s="5"/>
      <c r="B124" s="14">
        <v>23</v>
      </c>
      <c r="C124" s="2" t="s">
        <v>78</v>
      </c>
      <c r="D124" s="14">
        <v>12</v>
      </c>
      <c r="E124" s="14">
        <v>12</v>
      </c>
      <c r="F124" s="92">
        <v>22.987531631111352</v>
      </c>
      <c r="G124" s="55">
        <f>F124/E124</f>
        <v>1.9156276359259461</v>
      </c>
      <c r="H124" s="99">
        <v>2.06</v>
      </c>
      <c r="J124" s="41">
        <f>$J$10*$J$11*G124*$J$15</f>
        <v>5.7935102242073162</v>
      </c>
      <c r="K124" s="42">
        <f>$J$7*(1+$J$6*(J124-$J$16)/$J$16)</f>
        <v>104.57240052837717</v>
      </c>
      <c r="L124" s="43">
        <f>$J$13/K124*$J$8/1000000</f>
        <v>251.95075324640132</v>
      </c>
      <c r="M124" s="43">
        <f>L124-$M$17</f>
        <v>8.8515183145965466</v>
      </c>
      <c r="N124" s="30">
        <f>IF(ABS(M124)&gt;$M$15,M124-$M$15*SIGN(M124)*INT(M124/$M$15),M124)</f>
        <v>1.1340822850154426</v>
      </c>
      <c r="O124" s="46"/>
      <c r="P124" s="8">
        <f t="shared" si="17"/>
        <v>1.0448395722902231</v>
      </c>
      <c r="Q124" s="111">
        <f t="shared" si="14"/>
        <v>1.4462675173783086</v>
      </c>
      <c r="R124" s="119">
        <f t="shared" si="15"/>
        <v>0.72243866348062236</v>
      </c>
      <c r="S124" s="53">
        <f t="shared" si="18"/>
        <v>-2.6492477698217857E-3</v>
      </c>
      <c r="T124" s="16">
        <f t="shared" si="19"/>
        <v>3.5131938287717462E-2</v>
      </c>
      <c r="U124" s="135">
        <f t="shared" si="20"/>
        <v>7.8965172134270292</v>
      </c>
      <c r="V124" s="30">
        <f t="shared" si="16"/>
        <v>15.613953243008133</v>
      </c>
    </row>
    <row r="125" spans="1:22" x14ac:dyDescent="0.2">
      <c r="A125" s="5"/>
      <c r="B125" s="14">
        <v>21</v>
      </c>
      <c r="C125" s="2" t="s">
        <v>79</v>
      </c>
      <c r="D125" s="14">
        <v>11</v>
      </c>
      <c r="E125" s="14">
        <v>11</v>
      </c>
      <c r="F125" s="92">
        <v>20.991613554260891</v>
      </c>
      <c r="G125" s="55">
        <f>F125/E125</f>
        <v>1.9083285049328083</v>
      </c>
      <c r="H125" s="99">
        <v>1.89</v>
      </c>
      <c r="J125" s="41">
        <f>$J$10*$J$11*G125*$J$15</f>
        <v>5.771435166798712</v>
      </c>
      <c r="K125" s="42">
        <f>$J$7*(1+$J$6*(J125-$J$16)/$J$16)</f>
        <v>104.3748531603853</v>
      </c>
      <c r="L125" s="43">
        <f>$J$13/K125*$J$8/1000000</f>
        <v>252.4276133967185</v>
      </c>
      <c r="M125" s="43">
        <f>L125-$M$17</f>
        <v>9.328378464913726</v>
      </c>
      <c r="N125" s="30">
        <f>IF(ABS(M125)&gt;$M$15,M125-$M$15*SIGN(M125)*INT(M125/$M$15),M125)</f>
        <v>1.610942435332622</v>
      </c>
      <c r="O125" s="46"/>
      <c r="P125" s="8">
        <f t="shared" si="17"/>
        <v>1.04883596016854</v>
      </c>
      <c r="Q125" s="111">
        <f t="shared" si="14"/>
        <v>1.4491572969635365</v>
      </c>
      <c r="R125" s="119">
        <f t="shared" si="15"/>
        <v>0.72375577334924102</v>
      </c>
      <c r="S125" s="53">
        <f t="shared" si="18"/>
        <v>-2.9509012212663201E-3</v>
      </c>
      <c r="T125" s="16">
        <f t="shared" si="19"/>
        <v>3.6954667278231101E-2</v>
      </c>
      <c r="U125" s="135">
        <f t="shared" si="20"/>
        <v>8.2662895132482106</v>
      </c>
      <c r="V125" s="30">
        <f t="shared" si="16"/>
        <v>15.983725542829315</v>
      </c>
    </row>
    <row r="126" spans="1:22" x14ac:dyDescent="0.2">
      <c r="A126" s="5"/>
      <c r="B126" s="14">
        <v>19</v>
      </c>
      <c r="C126" s="2" t="s">
        <v>80</v>
      </c>
      <c r="D126" s="14">
        <v>10</v>
      </c>
      <c r="E126" s="14">
        <v>10</v>
      </c>
      <c r="F126" s="92">
        <v>18.996388360608822</v>
      </c>
      <c r="G126" s="55">
        <f>F126/E126</f>
        <v>1.8996388360608822</v>
      </c>
      <c r="H126" s="99">
        <v>1.73</v>
      </c>
      <c r="J126" s="41">
        <f>$J$10*$J$11*G126*$J$15</f>
        <v>5.7451546493796029</v>
      </c>
      <c r="K126" s="42">
        <f>$J$7*(1+$J$6*(J126-$J$16)/$J$16)</f>
        <v>104.13967157288074</v>
      </c>
      <c r="L126" s="43">
        <f>$J$13/K126*$J$8/1000000</f>
        <v>252.99767786832649</v>
      </c>
      <c r="M126" s="43">
        <f>L126-$M$17</f>
        <v>9.8984429365217181</v>
      </c>
      <c r="N126" s="30">
        <f>IF(ABS(M126)&gt;$M$15,M126-$M$15*SIGN(M126)*INT(M126/$M$15),M126)</f>
        <v>0.25164789954533795</v>
      </c>
      <c r="O126" s="46"/>
      <c r="P126" s="8">
        <f t="shared" si="17"/>
        <v>1.0536337338409989</v>
      </c>
      <c r="Q126" s="111">
        <f t="shared" si="14"/>
        <v>1.452633486151178</v>
      </c>
      <c r="R126" s="119">
        <f t="shared" si="15"/>
        <v>0.7253266180945972</v>
      </c>
      <c r="S126" s="53">
        <f t="shared" si="18"/>
        <v>-3.3340992584889612E-3</v>
      </c>
      <c r="T126" s="16">
        <f t="shared" si="19"/>
        <v>3.9124639482554298E-2</v>
      </c>
      <c r="U126" s="135">
        <f t="shared" si="20"/>
        <v>8.7006529462662687</v>
      </c>
      <c r="V126" s="30">
        <f t="shared" si="16"/>
        <v>16.418088975847372</v>
      </c>
    </row>
    <row r="127" spans="1:22" x14ac:dyDescent="0.2">
      <c r="B127" s="14">
        <v>17</v>
      </c>
      <c r="C127" s="2" t="s">
        <v>81</v>
      </c>
      <c r="D127" s="14">
        <v>9</v>
      </c>
      <c r="E127" s="14">
        <v>9</v>
      </c>
      <c r="F127" s="92">
        <v>16.997153050155156</v>
      </c>
      <c r="G127" s="55">
        <f>F127/E127</f>
        <v>1.8885725611283506</v>
      </c>
      <c r="H127" s="99">
        <v>1.4</v>
      </c>
      <c r="J127" s="41">
        <f>$J$10*$J$11*G127*$J$15</f>
        <v>5.7116864660212432</v>
      </c>
      <c r="K127" s="42">
        <f>$J$7*(1+$J$6*(J127-$J$16)/$J$16)</f>
        <v>103.84016831852743</v>
      </c>
      <c r="L127" s="43">
        <f>$J$13/K127*$J$8/1000000</f>
        <v>253.72739189992322</v>
      </c>
      <c r="M127" s="43">
        <f>L127-$M$17</f>
        <v>10.628156968118446</v>
      </c>
      <c r="N127" s="30">
        <f>IF(ABS(M127)&gt;$M$15,M127-$M$15*SIGN(M127)*INT(M127/$M$15),M127)</f>
        <v>0.98136193114206627</v>
      </c>
      <c r="O127" s="46"/>
      <c r="P127" s="8">
        <f t="shared" si="17"/>
        <v>1.0598076033638666</v>
      </c>
      <c r="Q127" s="111">
        <f t="shared" si="14"/>
        <v>1.4571177564451896</v>
      </c>
      <c r="R127" s="119">
        <f t="shared" si="15"/>
        <v>0.727331472474395</v>
      </c>
      <c r="S127" s="53">
        <f t="shared" si="18"/>
        <v>-3.860882657297953E-3</v>
      </c>
      <c r="T127" s="16">
        <f t="shared" si="19"/>
        <v>4.188809449596384E-2</v>
      </c>
      <c r="U127" s="135">
        <f t="shared" si="20"/>
        <v>9.2443861045693456</v>
      </c>
      <c r="V127" s="30">
        <f t="shared" si="16"/>
        <v>16.961822134150449</v>
      </c>
    </row>
    <row r="128" spans="1:22" x14ac:dyDescent="0.2">
      <c r="B128" s="14">
        <v>15</v>
      </c>
      <c r="C128" s="2" t="s">
        <v>82</v>
      </c>
      <c r="D128" s="14">
        <v>8</v>
      </c>
      <c r="E128" s="14">
        <v>8</v>
      </c>
      <c r="F128" s="92">
        <v>14.998672622899884</v>
      </c>
      <c r="G128" s="55">
        <f>F128/E128</f>
        <v>1.8748340778624855</v>
      </c>
      <c r="H128" s="99">
        <v>1.06</v>
      </c>
      <c r="J128" s="41">
        <f>$J$10*$J$11*G128*$J$15</f>
        <v>5.6701366148011134</v>
      </c>
      <c r="K128" s="42">
        <f>$J$7*(1+$J$6*(J128-$J$16)/$J$16)</f>
        <v>103.46834306810742</v>
      </c>
      <c r="L128" s="43">
        <f>$J$13/K128*$J$8/1000000</f>
        <v>254.63919011988222</v>
      </c>
      <c r="M128" s="43">
        <f>L128-$M$17</f>
        <v>11.539955188077442</v>
      </c>
      <c r="N128" s="30">
        <f>IF(ABS(M128)&gt;$M$15,M128-$M$15*SIGN(M128)*INT(M128/$M$15),M128)</f>
        <v>1.8931601511010623</v>
      </c>
      <c r="O128" s="46"/>
      <c r="P128" s="8">
        <f t="shared" si="17"/>
        <v>1.0675737034128112</v>
      </c>
      <c r="Q128" s="111">
        <f t="shared" si="14"/>
        <v>1.4627759952291208</v>
      </c>
      <c r="R128" s="119">
        <f t="shared" si="15"/>
        <v>0.72982719629986303</v>
      </c>
      <c r="S128" s="53">
        <f t="shared" si="18"/>
        <v>-4.5770944200751807E-3</v>
      </c>
      <c r="T128" s="16">
        <f t="shared" si="19"/>
        <v>4.5318849712978143E-2</v>
      </c>
      <c r="U128" s="135">
        <f t="shared" si="20"/>
        <v>9.9042895414835179</v>
      </c>
      <c r="V128" s="30">
        <f t="shared" si="16"/>
        <v>19.5510845784599</v>
      </c>
    </row>
    <row r="149" spans="4:9" x14ac:dyDescent="0.2">
      <c r="D149" s="9"/>
    </row>
    <row r="150" spans="4:9" x14ac:dyDescent="0.2">
      <c r="D150" s="9"/>
    </row>
    <row r="151" spans="4:9" x14ac:dyDescent="0.2">
      <c r="D151" s="9"/>
      <c r="F151" s="1"/>
      <c r="H151" s="14"/>
      <c r="I151" s="14"/>
    </row>
    <row r="152" spans="4:9" x14ac:dyDescent="0.2">
      <c r="D152" s="9"/>
      <c r="F152" s="1"/>
      <c r="H152" s="14"/>
      <c r="I152" s="14"/>
    </row>
    <row r="153" spans="4:9" x14ac:dyDescent="0.2">
      <c r="D153" s="9"/>
      <c r="F153" s="1"/>
      <c r="H153" s="14"/>
      <c r="I153" s="14"/>
    </row>
    <row r="154" spans="4:9" x14ac:dyDescent="0.2">
      <c r="D154" s="9"/>
      <c r="F154" s="1"/>
      <c r="H154" s="14"/>
      <c r="I154" s="14"/>
    </row>
    <row r="155" spans="4:9" x14ac:dyDescent="0.2">
      <c r="D155" s="9"/>
      <c r="F155" s="1"/>
      <c r="H155" s="14"/>
      <c r="I155" s="14"/>
    </row>
    <row r="156" spans="4:9" x14ac:dyDescent="0.2">
      <c r="D156" s="9"/>
      <c r="F156" s="1"/>
      <c r="H156" s="14"/>
      <c r="I156" s="14"/>
    </row>
    <row r="157" spans="4:9" x14ac:dyDescent="0.2">
      <c r="D157" s="9"/>
      <c r="F157" s="1"/>
      <c r="H157" s="14"/>
      <c r="I157" s="14"/>
    </row>
    <row r="158" spans="4:9" x14ac:dyDescent="0.2">
      <c r="D158" s="9"/>
      <c r="F158" s="1"/>
      <c r="H158" s="14"/>
      <c r="I158" s="14"/>
    </row>
    <row r="159" spans="4:9" x14ac:dyDescent="0.2">
      <c r="D159" s="9"/>
      <c r="F159" s="1"/>
      <c r="H159" s="14"/>
      <c r="I159" s="14"/>
    </row>
    <row r="160" spans="4:9" x14ac:dyDescent="0.2">
      <c r="D160" s="9"/>
      <c r="F160" s="1"/>
      <c r="H160" s="14"/>
      <c r="I160" s="14"/>
    </row>
    <row r="161" spans="4:9" x14ac:dyDescent="0.2">
      <c r="D161" s="9"/>
      <c r="F161" s="1"/>
      <c r="G161" s="14"/>
      <c r="H161" s="14"/>
      <c r="I161" s="14"/>
    </row>
    <row r="162" spans="4:9" x14ac:dyDescent="0.2">
      <c r="D162" s="9"/>
      <c r="F162" s="1"/>
      <c r="G162" s="14"/>
      <c r="H162" s="14"/>
      <c r="I162" s="14"/>
    </row>
    <row r="163" spans="4:9" x14ac:dyDescent="0.2">
      <c r="D163" s="9"/>
      <c r="F163" s="1"/>
      <c r="G163" s="14"/>
      <c r="H163" s="14"/>
      <c r="I163" s="14"/>
    </row>
    <row r="164" spans="4:9" x14ac:dyDescent="0.2">
      <c r="D164" s="9"/>
      <c r="F164" s="1"/>
      <c r="G164" s="14"/>
      <c r="H164" s="14"/>
      <c r="I164" s="14"/>
    </row>
    <row r="165" spans="4:9" x14ac:dyDescent="0.2">
      <c r="D165" s="9"/>
      <c r="F165" s="1"/>
      <c r="G165" s="14"/>
      <c r="H165" s="14"/>
      <c r="I165" s="14"/>
    </row>
    <row r="166" spans="4:9" x14ac:dyDescent="0.2">
      <c r="D166" s="9"/>
      <c r="F166" s="1"/>
      <c r="G166" s="14"/>
      <c r="H166" s="14"/>
      <c r="I166" s="14"/>
    </row>
    <row r="167" spans="4:9" x14ac:dyDescent="0.2">
      <c r="D167" s="9"/>
      <c r="F167" s="1"/>
      <c r="G167" s="14"/>
      <c r="H167" s="14"/>
      <c r="I167" s="14"/>
    </row>
    <row r="168" spans="4:9" x14ac:dyDescent="0.2">
      <c r="D168" s="9"/>
      <c r="F168" s="1"/>
      <c r="G168" s="14"/>
      <c r="H168" s="14"/>
      <c r="I168" s="14"/>
    </row>
    <row r="169" spans="4:9" x14ac:dyDescent="0.2">
      <c r="D169" s="9"/>
      <c r="F169" s="1"/>
      <c r="G169" s="14"/>
      <c r="H169" s="14"/>
      <c r="I169" s="14"/>
    </row>
    <row r="170" spans="4:9" x14ac:dyDescent="0.2">
      <c r="D170" s="9"/>
      <c r="F170" s="1"/>
      <c r="G170" s="14"/>
      <c r="H170" s="14"/>
      <c r="I170" s="14"/>
    </row>
    <row r="171" spans="4:9" x14ac:dyDescent="0.2">
      <c r="D171" s="9"/>
      <c r="F171" s="1"/>
      <c r="G171" s="14"/>
      <c r="H171" s="14"/>
      <c r="I171" s="14"/>
    </row>
    <row r="172" spans="4:9" x14ac:dyDescent="0.2">
      <c r="D172" s="9"/>
      <c r="F172" s="1"/>
      <c r="G172" s="14"/>
      <c r="H172" s="14"/>
      <c r="I172" s="14"/>
    </row>
    <row r="173" spans="4:9" x14ac:dyDescent="0.2">
      <c r="D173" s="9"/>
      <c r="F173" s="1"/>
      <c r="G173" s="14"/>
      <c r="H173" s="14"/>
      <c r="I173" s="14"/>
    </row>
    <row r="174" spans="4:9" x14ac:dyDescent="0.2">
      <c r="D174" s="9"/>
      <c r="F174" s="1"/>
      <c r="G174" s="14"/>
      <c r="H174" s="14"/>
      <c r="I174" s="14"/>
    </row>
    <row r="175" spans="4:9" x14ac:dyDescent="0.2">
      <c r="D175" s="9"/>
      <c r="F175" s="1"/>
      <c r="G175" s="14"/>
      <c r="H175" s="14"/>
      <c r="I175" s="14"/>
    </row>
    <row r="176" spans="4:9" x14ac:dyDescent="0.2">
      <c r="D176" s="9"/>
      <c r="F176" s="1"/>
      <c r="G176" s="14"/>
      <c r="H176" s="14"/>
      <c r="I176" s="14"/>
    </row>
    <row r="177" spans="4:9" x14ac:dyDescent="0.2">
      <c r="D177" s="9"/>
      <c r="F177" s="1"/>
      <c r="G177" s="14"/>
      <c r="H177" s="14"/>
      <c r="I177" s="14"/>
    </row>
    <row r="178" spans="4:9" x14ac:dyDescent="0.2">
      <c r="D178" s="9"/>
      <c r="F178" s="1"/>
      <c r="G178" s="14"/>
      <c r="H178" s="14"/>
      <c r="I178" s="14"/>
    </row>
    <row r="179" spans="4:9" x14ac:dyDescent="0.2">
      <c r="D179" s="9"/>
      <c r="F179" s="1"/>
      <c r="G179" s="14"/>
      <c r="H179" s="14"/>
      <c r="I179" s="14"/>
    </row>
    <row r="180" spans="4:9" x14ac:dyDescent="0.2">
      <c r="D180" s="9"/>
      <c r="F180" s="1"/>
      <c r="G180" s="14"/>
      <c r="H180" s="14"/>
      <c r="I180" s="14"/>
    </row>
    <row r="181" spans="4:9" x14ac:dyDescent="0.2">
      <c r="D181" s="9"/>
      <c r="F181" s="1"/>
      <c r="G181" s="14"/>
      <c r="H181" s="14"/>
      <c r="I181" s="14"/>
    </row>
    <row r="182" spans="4:9" x14ac:dyDescent="0.2">
      <c r="D182" s="9"/>
      <c r="F182" s="1"/>
      <c r="G182" s="14"/>
      <c r="H182" s="14"/>
      <c r="I182" s="14"/>
    </row>
    <row r="183" spans="4:9" x14ac:dyDescent="0.2">
      <c r="D183" s="9"/>
      <c r="F183" s="1"/>
      <c r="G183" s="14"/>
      <c r="H183" s="14"/>
      <c r="I183" s="14"/>
    </row>
    <row r="184" spans="4:9" x14ac:dyDescent="0.2">
      <c r="D184" s="9"/>
      <c r="F184" s="1"/>
      <c r="G184" s="14"/>
      <c r="H184" s="14"/>
      <c r="I184" s="14"/>
    </row>
    <row r="185" spans="4:9" x14ac:dyDescent="0.2">
      <c r="D185" s="9"/>
      <c r="F185" s="1"/>
      <c r="G185" s="14"/>
      <c r="H185" s="14"/>
      <c r="I185" s="14"/>
    </row>
    <row r="186" spans="4:9" x14ac:dyDescent="0.2">
      <c r="D186" s="9"/>
      <c r="F186" s="1"/>
      <c r="G186" s="14"/>
      <c r="H186" s="14"/>
      <c r="I186" s="14"/>
    </row>
    <row r="187" spans="4:9" x14ac:dyDescent="0.2">
      <c r="D187" s="9"/>
      <c r="F187" s="1"/>
      <c r="G187" s="14"/>
      <c r="H187" s="14"/>
      <c r="I187" s="14"/>
    </row>
    <row r="188" spans="4:9" x14ac:dyDescent="0.2">
      <c r="D188" s="9"/>
      <c r="F188" s="1"/>
      <c r="G188" s="14"/>
      <c r="H188" s="14"/>
      <c r="I188" s="14"/>
    </row>
    <row r="189" spans="4:9" x14ac:dyDescent="0.2">
      <c r="D189" s="9"/>
      <c r="F189" s="1"/>
      <c r="G189" s="14"/>
      <c r="H189" s="14"/>
      <c r="I189" s="14"/>
    </row>
    <row r="190" spans="4:9" x14ac:dyDescent="0.2">
      <c r="D190" s="9"/>
      <c r="F190" s="1"/>
      <c r="G190" s="14"/>
      <c r="H190" s="14"/>
      <c r="I190" s="14"/>
    </row>
    <row r="191" spans="4:9" x14ac:dyDescent="0.2">
      <c r="D191" s="9"/>
      <c r="F191" s="1"/>
      <c r="G191" s="14"/>
      <c r="H191" s="14"/>
      <c r="I191" s="14"/>
    </row>
    <row r="192" spans="4:9" x14ac:dyDescent="0.2">
      <c r="D192" s="9"/>
      <c r="F192" s="1"/>
      <c r="G192" s="14"/>
      <c r="H192" s="14"/>
      <c r="I192" s="14"/>
    </row>
    <row r="193" spans="3:9" x14ac:dyDescent="0.2">
      <c r="D193" s="9"/>
      <c r="F193" s="1"/>
      <c r="G193" s="14"/>
      <c r="H193" s="14"/>
      <c r="I193" s="14"/>
    </row>
    <row r="194" spans="3:9" x14ac:dyDescent="0.2">
      <c r="D194" s="9"/>
      <c r="F194" s="1"/>
      <c r="G194" s="14"/>
      <c r="H194" s="14"/>
      <c r="I194" s="14"/>
    </row>
    <row r="195" spans="3:9" x14ac:dyDescent="0.2">
      <c r="D195" s="9"/>
      <c r="F195" s="1"/>
      <c r="G195" s="14"/>
      <c r="H195" s="14"/>
      <c r="I195" s="14"/>
    </row>
    <row r="196" spans="3:9" x14ac:dyDescent="0.2">
      <c r="D196" s="9"/>
      <c r="F196" s="1"/>
      <c r="G196" s="14"/>
      <c r="H196" s="14"/>
      <c r="I196" s="14"/>
    </row>
    <row r="197" spans="3:9" x14ac:dyDescent="0.2">
      <c r="C197" s="9"/>
      <c r="E197" s="1"/>
      <c r="F197" s="14"/>
      <c r="G197" s="14"/>
      <c r="H197" s="14"/>
      <c r="I197" s="14"/>
    </row>
    <row r="198" spans="3:9" x14ac:dyDescent="0.2">
      <c r="C198" s="9"/>
      <c r="E198" s="1"/>
      <c r="F198" s="14"/>
      <c r="G198" s="14"/>
      <c r="H198" s="14"/>
      <c r="I198" s="14"/>
    </row>
    <row r="199" spans="3:9" x14ac:dyDescent="0.2">
      <c r="C199" s="9"/>
      <c r="E199" s="1"/>
      <c r="F199" s="14"/>
      <c r="G199" s="14"/>
      <c r="H199" s="14"/>
      <c r="I199" s="14"/>
    </row>
    <row r="200" spans="3:9" x14ac:dyDescent="0.2">
      <c r="C200" s="9"/>
      <c r="E200" s="1"/>
      <c r="F200" s="14"/>
      <c r="G200" s="14"/>
      <c r="H200" s="14"/>
      <c r="I200" s="14"/>
    </row>
    <row r="201" spans="3:9" x14ac:dyDescent="0.2">
      <c r="C201" s="9"/>
      <c r="E201" s="1"/>
      <c r="F201" s="14"/>
      <c r="G201" s="14"/>
      <c r="H201" s="14"/>
      <c r="I201" s="14"/>
    </row>
    <row r="202" spans="3:9" x14ac:dyDescent="0.2">
      <c r="C202" s="9"/>
      <c r="E202" s="1"/>
      <c r="F202" s="14"/>
      <c r="G202" s="14"/>
      <c r="H202" s="14"/>
      <c r="I202" s="14"/>
    </row>
    <row r="203" spans="3:9" x14ac:dyDescent="0.2">
      <c r="C203" s="9"/>
      <c r="E203" s="1"/>
      <c r="F203" s="14"/>
      <c r="G203" s="14"/>
      <c r="H203" s="14"/>
      <c r="I203" s="14"/>
    </row>
    <row r="204" spans="3:9" x14ac:dyDescent="0.2">
      <c r="C204" s="9"/>
      <c r="E204" s="1"/>
      <c r="F204" s="14"/>
      <c r="G204" s="14"/>
      <c r="H204" s="14"/>
      <c r="I204" s="14"/>
    </row>
    <row r="205" spans="3:9" x14ac:dyDescent="0.2">
      <c r="C205" s="9"/>
      <c r="E205" s="1"/>
      <c r="F205" s="14"/>
      <c r="G205" s="14"/>
      <c r="H205" s="14"/>
      <c r="I205" s="14"/>
    </row>
    <row r="206" spans="3:9" x14ac:dyDescent="0.2">
      <c r="C206" s="9"/>
      <c r="E206" s="1"/>
      <c r="F206" s="14"/>
      <c r="G206" s="14"/>
      <c r="H206" s="14"/>
      <c r="I206" s="14"/>
    </row>
    <row r="207" spans="3:9" x14ac:dyDescent="0.2">
      <c r="C207" s="9"/>
      <c r="E207" s="1"/>
      <c r="F207" s="14"/>
      <c r="G207" s="14"/>
      <c r="H207" s="14"/>
      <c r="I207" s="14"/>
    </row>
    <row r="208" spans="3:9" x14ac:dyDescent="0.2">
      <c r="C208" s="9"/>
      <c r="E208" s="1"/>
      <c r="F208" s="14"/>
      <c r="G208" s="14"/>
      <c r="H208" s="14"/>
      <c r="I208" s="14"/>
    </row>
    <row r="209" spans="3:9" x14ac:dyDescent="0.2">
      <c r="C209" s="9"/>
      <c r="E209" s="1"/>
      <c r="F209" s="14"/>
      <c r="G209" s="14"/>
      <c r="H209" s="14"/>
      <c r="I209" s="14"/>
    </row>
    <row r="210" spans="3:9" x14ac:dyDescent="0.2">
      <c r="C210" s="9"/>
      <c r="E210" s="1"/>
      <c r="F210" s="14"/>
      <c r="G210" s="14"/>
      <c r="H210" s="14"/>
      <c r="I210" s="14"/>
    </row>
    <row r="211" spans="3:9" x14ac:dyDescent="0.2">
      <c r="C211" s="9"/>
      <c r="E211" s="1"/>
      <c r="F211" s="14"/>
      <c r="G211" s="14"/>
      <c r="H211" s="14"/>
      <c r="I211" s="14"/>
    </row>
    <row r="212" spans="3:9" x14ac:dyDescent="0.2">
      <c r="C212" s="9"/>
      <c r="E212" s="1"/>
      <c r="F212" s="14"/>
      <c r="G212" s="14"/>
      <c r="H212" s="14"/>
      <c r="I212" s="14"/>
    </row>
    <row r="213" spans="3:9" x14ac:dyDescent="0.2">
      <c r="C213" s="9"/>
      <c r="E213" s="1"/>
      <c r="F213" s="14"/>
      <c r="G213" s="14"/>
      <c r="H213" s="14"/>
      <c r="I213" s="14"/>
    </row>
    <row r="214" spans="3:9" x14ac:dyDescent="0.2">
      <c r="C214" s="9"/>
      <c r="E214" s="1"/>
      <c r="F214" s="14"/>
      <c r="G214" s="14"/>
      <c r="H214" s="14"/>
      <c r="I214" s="14"/>
    </row>
    <row r="215" spans="3:9" x14ac:dyDescent="0.2">
      <c r="C215" s="9"/>
      <c r="E215" s="1"/>
      <c r="F215" s="14"/>
      <c r="G215" s="14"/>
      <c r="H215" s="14"/>
      <c r="I215" s="14"/>
    </row>
    <row r="216" spans="3:9" x14ac:dyDescent="0.2">
      <c r="C216" s="9"/>
      <c r="E216" s="1"/>
      <c r="F216" s="14"/>
      <c r="G216" s="14"/>
      <c r="H216" s="14"/>
      <c r="I216" s="14"/>
    </row>
    <row r="217" spans="3:9" x14ac:dyDescent="0.2">
      <c r="C217" s="9"/>
      <c r="E217" s="1"/>
      <c r="F217" s="14"/>
      <c r="G217" s="14"/>
      <c r="H217" s="14"/>
      <c r="I217" s="14"/>
    </row>
    <row r="218" spans="3:9" x14ac:dyDescent="0.2">
      <c r="C218" s="9"/>
      <c r="E218" s="1"/>
      <c r="F218" s="14"/>
      <c r="G218" s="14"/>
      <c r="H218" s="14"/>
      <c r="I218" s="14"/>
    </row>
    <row r="219" spans="3:9" x14ac:dyDescent="0.2">
      <c r="C219" s="9"/>
      <c r="E219" s="1"/>
      <c r="F219" s="14"/>
      <c r="G219" s="14"/>
      <c r="H219" s="14"/>
      <c r="I219" s="14"/>
    </row>
    <row r="220" spans="3:9" x14ac:dyDescent="0.2">
      <c r="C220" s="9"/>
      <c r="E220" s="1"/>
      <c r="F220" s="14"/>
      <c r="G220" s="14"/>
      <c r="H220" s="14"/>
      <c r="I220" s="14"/>
    </row>
    <row r="221" spans="3:9" x14ac:dyDescent="0.2">
      <c r="C221" s="9"/>
      <c r="E221" s="1"/>
      <c r="F221" s="14"/>
      <c r="G221" s="14"/>
      <c r="H221" s="14"/>
      <c r="I221" s="14"/>
    </row>
    <row r="222" spans="3:9" x14ac:dyDescent="0.2">
      <c r="C222" s="9"/>
      <c r="E222" s="1"/>
      <c r="F222" s="14"/>
      <c r="G222" s="14"/>
      <c r="H222" s="14"/>
      <c r="I222" s="14"/>
    </row>
    <row r="223" spans="3:9" x14ac:dyDescent="0.2">
      <c r="C223" s="9"/>
      <c r="E223" s="1"/>
      <c r="F223" s="14"/>
      <c r="G223" s="14"/>
      <c r="H223" s="14"/>
      <c r="I223" s="14"/>
    </row>
    <row r="224" spans="3:9" x14ac:dyDescent="0.2">
      <c r="C224" s="9"/>
      <c r="E224" s="1"/>
      <c r="F224" s="14"/>
      <c r="G224" s="14"/>
      <c r="H224" s="14"/>
      <c r="I224" s="14"/>
    </row>
    <row r="225" spans="3:9" x14ac:dyDescent="0.2">
      <c r="C225" s="9"/>
      <c r="E225" s="1"/>
      <c r="F225" s="14"/>
      <c r="G225" s="14"/>
      <c r="H225" s="14"/>
      <c r="I225" s="14"/>
    </row>
    <row r="226" spans="3:9" x14ac:dyDescent="0.2">
      <c r="C226" s="9"/>
      <c r="E226" s="1"/>
      <c r="F226" s="14"/>
      <c r="G226" s="14"/>
      <c r="H226" s="14"/>
      <c r="I226" s="14"/>
    </row>
    <row r="227" spans="3:9" x14ac:dyDescent="0.2">
      <c r="C227" s="9"/>
      <c r="E227" s="1"/>
      <c r="F227" s="14"/>
      <c r="G227" s="14"/>
      <c r="H227" s="14"/>
      <c r="I227" s="14"/>
    </row>
    <row r="228" spans="3:9" x14ac:dyDescent="0.2">
      <c r="C228" s="9"/>
      <c r="E228" s="1"/>
      <c r="F228" s="14"/>
      <c r="G228" s="14"/>
      <c r="H228" s="14"/>
      <c r="I228" s="14"/>
    </row>
    <row r="229" spans="3:9" x14ac:dyDescent="0.2">
      <c r="C229" s="9"/>
      <c r="E229" s="1"/>
      <c r="F229" s="14"/>
      <c r="G229" s="14"/>
      <c r="H229" s="14"/>
      <c r="I229" s="14"/>
    </row>
    <row r="230" spans="3:9" x14ac:dyDescent="0.2">
      <c r="C230" s="9"/>
      <c r="E230" s="1"/>
      <c r="F230" s="14"/>
      <c r="G230" s="14"/>
      <c r="H230" s="14"/>
      <c r="I230" s="14"/>
    </row>
    <row r="231" spans="3:9" x14ac:dyDescent="0.2">
      <c r="C231" s="9"/>
      <c r="E231" s="1"/>
      <c r="F231" s="14"/>
      <c r="G231" s="14"/>
      <c r="H231" s="14"/>
      <c r="I231" s="14"/>
    </row>
    <row r="232" spans="3:9" x14ac:dyDescent="0.2">
      <c r="C232" s="9"/>
      <c r="E232" s="1"/>
      <c r="F232" s="14"/>
      <c r="G232" s="14"/>
      <c r="H232" s="14"/>
      <c r="I232" s="14"/>
    </row>
    <row r="233" spans="3:9" x14ac:dyDescent="0.2">
      <c r="C233" s="9"/>
      <c r="E233" s="1"/>
      <c r="F233" s="14"/>
      <c r="G233" s="14"/>
      <c r="H233" s="14"/>
      <c r="I233" s="14"/>
    </row>
    <row r="234" spans="3:9" x14ac:dyDescent="0.2">
      <c r="C234" s="9"/>
      <c r="E234" s="1"/>
      <c r="F234" s="14"/>
      <c r="G234" s="14"/>
      <c r="H234" s="14"/>
      <c r="I234" s="14"/>
    </row>
    <row r="235" spans="3:9" x14ac:dyDescent="0.2">
      <c r="C235" s="9"/>
      <c r="E235" s="1"/>
      <c r="F235" s="14"/>
      <c r="G235" s="14"/>
      <c r="H235" s="14"/>
      <c r="I235" s="14"/>
    </row>
    <row r="236" spans="3:9" x14ac:dyDescent="0.2">
      <c r="C236" s="9"/>
      <c r="E236" s="1"/>
      <c r="F236" s="14"/>
      <c r="G236" s="14"/>
      <c r="H236" s="14"/>
      <c r="I236" s="14"/>
    </row>
    <row r="237" spans="3:9" x14ac:dyDescent="0.2">
      <c r="C237" s="9"/>
      <c r="E237" s="1"/>
      <c r="F237" s="14"/>
      <c r="G237" s="14"/>
      <c r="H237" s="14"/>
      <c r="I237" s="14"/>
    </row>
    <row r="238" spans="3:9" x14ac:dyDescent="0.2">
      <c r="C238" s="9"/>
      <c r="E238" s="1"/>
      <c r="F238" s="14"/>
      <c r="G238" s="14"/>
      <c r="H238" s="14"/>
      <c r="I238" s="14"/>
    </row>
    <row r="239" spans="3:9" x14ac:dyDescent="0.2">
      <c r="C239" s="9"/>
      <c r="E239" s="1"/>
      <c r="F239" s="14"/>
      <c r="G239" s="14"/>
      <c r="H239" s="14"/>
      <c r="I239" s="14"/>
    </row>
    <row r="240" spans="3:9" x14ac:dyDescent="0.2">
      <c r="C240" s="9"/>
      <c r="E240" s="1"/>
      <c r="F240" s="14"/>
      <c r="G240" s="14"/>
      <c r="H240" s="14"/>
      <c r="I240" s="14"/>
    </row>
    <row r="241" spans="3:14" x14ac:dyDescent="0.2">
      <c r="C241" s="9"/>
      <c r="E241" s="1"/>
      <c r="F241" s="14"/>
      <c r="G241" s="14"/>
      <c r="H241" s="14"/>
      <c r="I241" s="14"/>
    </row>
    <row r="242" spans="3:14" x14ac:dyDescent="0.2">
      <c r="C242" s="9"/>
      <c r="E242" s="1"/>
      <c r="F242" s="14"/>
      <c r="G242" s="14"/>
      <c r="H242" s="14"/>
      <c r="I242" s="14"/>
    </row>
    <row r="243" spans="3:14" x14ac:dyDescent="0.2">
      <c r="C243" s="9"/>
      <c r="E243" s="1"/>
      <c r="F243" s="14"/>
      <c r="G243" s="14"/>
      <c r="H243" s="14"/>
      <c r="I243" s="14"/>
      <c r="K243" t="s">
        <v>66</v>
      </c>
      <c r="L243" t="s">
        <v>66</v>
      </c>
      <c r="M243" t="s">
        <v>66</v>
      </c>
      <c r="N243" t="s">
        <v>66</v>
      </c>
    </row>
    <row r="244" spans="3:14" x14ac:dyDescent="0.2">
      <c r="C244" s="9"/>
      <c r="E244" s="1"/>
      <c r="F244" s="14"/>
      <c r="G244" s="14"/>
      <c r="H244" s="14"/>
      <c r="I244" s="14"/>
      <c r="K244" t="s">
        <v>66</v>
      </c>
      <c r="L244" t="s">
        <v>66</v>
      </c>
      <c r="M244" t="s">
        <v>66</v>
      </c>
      <c r="N244" t="s">
        <v>66</v>
      </c>
    </row>
    <row r="245" spans="3:14" x14ac:dyDescent="0.2">
      <c r="C245" s="9"/>
      <c r="E245" s="1"/>
      <c r="F245" s="14"/>
      <c r="G245" s="14"/>
      <c r="H245" s="14"/>
      <c r="I245" s="14"/>
      <c r="K245" t="s">
        <v>66</v>
      </c>
      <c r="L245" t="s">
        <v>66</v>
      </c>
      <c r="M245" t="s">
        <v>66</v>
      </c>
      <c r="N245" t="s">
        <v>66</v>
      </c>
    </row>
    <row r="246" spans="3:14" x14ac:dyDescent="0.2">
      <c r="C246" s="9"/>
      <c r="E246" s="1"/>
      <c r="F246" s="14"/>
      <c r="G246" s="14"/>
      <c r="H246" s="14"/>
      <c r="I246" s="14"/>
      <c r="K246" t="s">
        <v>66</v>
      </c>
      <c r="L246" t="s">
        <v>66</v>
      </c>
      <c r="M246" t="s">
        <v>66</v>
      </c>
      <c r="N246" t="s">
        <v>66</v>
      </c>
    </row>
    <row r="247" spans="3:14" x14ac:dyDescent="0.2">
      <c r="C247" s="9"/>
      <c r="E247" s="1"/>
      <c r="F247" s="14"/>
      <c r="G247" s="14"/>
      <c r="H247" s="14"/>
      <c r="I247" s="14"/>
      <c r="K247" t="s">
        <v>66</v>
      </c>
      <c r="L247" t="s">
        <v>66</v>
      </c>
      <c r="M247" t="s">
        <v>66</v>
      </c>
      <c r="N247" t="s">
        <v>66</v>
      </c>
    </row>
    <row r="248" spans="3:14" x14ac:dyDescent="0.2">
      <c r="C248" s="9"/>
      <c r="E248" s="1"/>
      <c r="F248" s="14"/>
      <c r="G248" s="14"/>
      <c r="H248" s="14"/>
      <c r="I248" s="14"/>
      <c r="K248" t="s">
        <v>66</v>
      </c>
      <c r="L248" t="s">
        <v>66</v>
      </c>
      <c r="M248" t="s">
        <v>66</v>
      </c>
      <c r="N248" t="s">
        <v>66</v>
      </c>
    </row>
    <row r="249" spans="3:14" x14ac:dyDescent="0.2">
      <c r="C249" s="9"/>
      <c r="E249" s="1"/>
      <c r="F249" s="14"/>
      <c r="G249" s="14"/>
      <c r="H249" s="14"/>
      <c r="I249" s="14"/>
      <c r="K249" t="s">
        <v>66</v>
      </c>
      <c r="L249" t="s">
        <v>66</v>
      </c>
      <c r="M249" t="s">
        <v>66</v>
      </c>
      <c r="N249" t="s">
        <v>66</v>
      </c>
    </row>
  </sheetData>
  <sortState ref="A20:O126">
    <sortCondition descending="1" ref="A20:A126"/>
    <sortCondition descending="1" ref="O20:O126"/>
  </sortState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topLeftCell="A16" zoomScale="110" zoomScaleNormal="110" workbookViewId="0">
      <selection activeCell="U12" sqref="U12"/>
    </sheetView>
  </sheetViews>
  <sheetFormatPr defaultRowHeight="12.75" x14ac:dyDescent="0.2"/>
  <cols>
    <col min="7" max="7" width="10.28515625" customWidth="1"/>
    <col min="9" max="9" width="9.5703125" bestFit="1" customWidth="1"/>
    <col min="15" max="15" width="10.85546875" customWidth="1"/>
    <col min="16" max="16" width="10.5703125" bestFit="1" customWidth="1"/>
    <col min="18" max="18" width="10" bestFit="1" customWidth="1"/>
    <col min="20" max="20" width="9.5703125" bestFit="1" customWidth="1"/>
    <col min="22" max="22" width="11.42578125" bestFit="1" customWidth="1"/>
  </cols>
  <sheetData>
    <row r="1" spans="2:26" x14ac:dyDescent="0.2">
      <c r="B1" s="22" t="s">
        <v>98</v>
      </c>
      <c r="C1" s="22"/>
      <c r="J1" s="5"/>
      <c r="K1" s="5"/>
      <c r="L1" s="6"/>
      <c r="M1" s="5"/>
      <c r="N1" s="5"/>
      <c r="O1" s="5"/>
    </row>
    <row r="2" spans="2:26" x14ac:dyDescent="0.2">
      <c r="B2" s="85" t="s">
        <v>53</v>
      </c>
      <c r="C2" s="84"/>
      <c r="D2" s="84"/>
      <c r="E2" s="84"/>
      <c r="F2" s="21"/>
      <c r="G2" s="21"/>
      <c r="H2" s="21"/>
      <c r="J2" s="5"/>
      <c r="K2" s="5"/>
      <c r="L2" s="6"/>
      <c r="M2" s="5"/>
      <c r="N2" s="7"/>
      <c r="O2" s="6"/>
    </row>
    <row r="3" spans="2:26" x14ac:dyDescent="0.2">
      <c r="B3" s="23" t="s">
        <v>38</v>
      </c>
      <c r="D3" s="20"/>
      <c r="E3" s="20"/>
      <c r="F3" s="20"/>
      <c r="G3" s="20"/>
      <c r="H3" s="20"/>
      <c r="I3" s="20"/>
      <c r="J3" s="5"/>
      <c r="K3" s="5"/>
      <c r="L3" s="6"/>
      <c r="M3" s="5"/>
      <c r="N3" s="5"/>
      <c r="O3" s="44"/>
      <c r="P3" s="6"/>
      <c r="Q3" s="5"/>
      <c r="R3" s="5"/>
      <c r="S3" s="5"/>
      <c r="T3" s="5"/>
    </row>
    <row r="4" spans="2:26" x14ac:dyDescent="0.2">
      <c r="B4" t="s">
        <v>4</v>
      </c>
      <c r="L4" s="5"/>
      <c r="M4" s="5"/>
      <c r="N4" s="5"/>
      <c r="O4" s="39"/>
      <c r="P4" s="45"/>
      <c r="Q4" s="39"/>
      <c r="R4" s="39"/>
      <c r="S4" s="39"/>
      <c r="T4" s="5"/>
      <c r="V4" s="2"/>
      <c r="W4" s="2"/>
      <c r="X4" s="2"/>
      <c r="Z4" s="2"/>
    </row>
    <row r="5" spans="2:26" x14ac:dyDescent="0.2">
      <c r="B5" s="23" t="s">
        <v>54</v>
      </c>
      <c r="I5" t="s">
        <v>34</v>
      </c>
      <c r="J5" s="71">
        <v>1.3955</v>
      </c>
      <c r="K5" s="29" t="s">
        <v>35</v>
      </c>
      <c r="N5" s="61"/>
      <c r="O5" s="54"/>
      <c r="P5" s="62"/>
      <c r="Q5" s="54"/>
      <c r="R5" s="54"/>
      <c r="S5" s="54"/>
      <c r="T5" s="5"/>
      <c r="U5" s="2"/>
    </row>
    <row r="6" spans="2:26" x14ac:dyDescent="0.2">
      <c r="I6" s="24" t="s">
        <v>25</v>
      </c>
      <c r="J6" s="54">
        <f>1/J5^2</f>
        <v>0.51349984678448324</v>
      </c>
      <c r="K6" s="8"/>
      <c r="N6" s="61"/>
      <c r="O6" s="54"/>
      <c r="P6" s="54"/>
      <c r="Q6" s="54"/>
      <c r="R6" s="54"/>
      <c r="S6" s="54"/>
      <c r="T6" s="54"/>
      <c r="U6" s="2"/>
    </row>
    <row r="7" spans="2:26" x14ac:dyDescent="0.2">
      <c r="I7" s="24" t="s">
        <v>16</v>
      </c>
      <c r="J7" s="72">
        <v>108.38</v>
      </c>
      <c r="K7" s="8" t="s">
        <v>3</v>
      </c>
      <c r="N7" s="7"/>
      <c r="O7" s="54"/>
      <c r="P7" s="54"/>
      <c r="Q7" s="54"/>
      <c r="R7" s="54"/>
      <c r="S7" s="54"/>
      <c r="T7" s="54"/>
      <c r="U7" s="2"/>
    </row>
    <row r="8" spans="2:26" x14ac:dyDescent="0.2">
      <c r="B8" s="16"/>
      <c r="C8" s="5"/>
      <c r="I8" s="9" t="s">
        <v>30</v>
      </c>
      <c r="J8" s="72">
        <v>126</v>
      </c>
      <c r="N8" s="47"/>
      <c r="O8" s="54"/>
      <c r="P8" s="54"/>
      <c r="Q8" s="54"/>
      <c r="R8" s="54"/>
      <c r="S8" s="54"/>
      <c r="T8" s="54"/>
    </row>
    <row r="9" spans="2:26" x14ac:dyDescent="0.2">
      <c r="B9" s="16"/>
      <c r="C9" s="16"/>
      <c r="D9" s="16"/>
      <c r="E9" s="16"/>
      <c r="F9" s="16"/>
      <c r="G9" s="16"/>
      <c r="H9" s="16"/>
      <c r="I9" s="9" t="s">
        <v>5</v>
      </c>
      <c r="J9" s="5">
        <f>(J5-1)*931.494065</f>
        <v>368.40590270749993</v>
      </c>
      <c r="K9" s="8" t="s">
        <v>6</v>
      </c>
      <c r="N9" s="5"/>
      <c r="O9" s="5"/>
      <c r="P9" s="5"/>
      <c r="Q9" s="5"/>
      <c r="R9" s="5"/>
      <c r="S9" s="5"/>
      <c r="T9" s="5"/>
    </row>
    <row r="10" spans="2:26" x14ac:dyDescent="0.2">
      <c r="B10" s="37"/>
      <c r="C10" s="53"/>
      <c r="D10" s="53"/>
      <c r="E10" s="53"/>
      <c r="F10" s="53"/>
      <c r="G10" s="16"/>
      <c r="H10" s="16"/>
      <c r="I10" s="9" t="s">
        <v>7</v>
      </c>
      <c r="J10" s="6">
        <f>1+J9/931.494065</f>
        <v>1.3955</v>
      </c>
      <c r="K10" s="8"/>
      <c r="L10" s="5"/>
    </row>
    <row r="11" spans="2:26" x14ac:dyDescent="0.2">
      <c r="B11" s="35"/>
      <c r="C11" s="35"/>
      <c r="D11" s="16"/>
      <c r="E11" s="16"/>
      <c r="F11" s="48"/>
      <c r="G11" s="16"/>
      <c r="H11" s="16"/>
      <c r="I11" s="24" t="s">
        <v>41</v>
      </c>
      <c r="J11">
        <f>SQRT(1-1/J10^2)</f>
        <v>0.69749562953148081</v>
      </c>
      <c r="N11" s="3"/>
      <c r="V11" s="23"/>
    </row>
    <row r="12" spans="2:26" x14ac:dyDescent="0.2">
      <c r="B12" s="37"/>
      <c r="C12" s="35"/>
      <c r="D12" s="16"/>
      <c r="E12" s="16"/>
      <c r="F12" s="48"/>
      <c r="G12" s="16"/>
      <c r="H12" s="16"/>
      <c r="I12" s="9" t="s">
        <v>13</v>
      </c>
      <c r="J12" s="28">
        <v>299792458</v>
      </c>
      <c r="K12" s="8" t="s">
        <v>9</v>
      </c>
    </row>
    <row r="13" spans="2:26" x14ac:dyDescent="0.2">
      <c r="B13" s="37"/>
      <c r="C13" s="35"/>
      <c r="D13" s="16"/>
      <c r="E13" s="16"/>
      <c r="F13" s="48"/>
      <c r="G13" s="16"/>
      <c r="H13" s="16"/>
      <c r="I13" s="9" t="s">
        <v>8</v>
      </c>
      <c r="J13">
        <f>SQRT(1-1/J10^2)*J12</f>
        <v>209103929.22150001</v>
      </c>
      <c r="K13" s="8" t="s">
        <v>9</v>
      </c>
      <c r="M13" s="5"/>
      <c r="N13" s="49"/>
    </row>
    <row r="14" spans="2:26" x14ac:dyDescent="0.2">
      <c r="C14" s="35"/>
      <c r="D14" s="16"/>
      <c r="E14" s="16"/>
      <c r="F14" s="48"/>
      <c r="G14" s="16"/>
      <c r="H14" s="16"/>
      <c r="I14" s="91" t="s">
        <v>61</v>
      </c>
      <c r="J14" s="71">
        <v>2.2469999999999999</v>
      </c>
      <c r="M14" s="23" t="s">
        <v>49</v>
      </c>
      <c r="N14" s="3"/>
    </row>
    <row r="15" spans="2:26" x14ac:dyDescent="0.2">
      <c r="I15" s="24" t="s">
        <v>24</v>
      </c>
      <c r="J15" s="28">
        <v>3.1071294865388026</v>
      </c>
      <c r="K15" s="8"/>
      <c r="M15" s="30">
        <f>M17/J8</f>
        <v>1.9293507403616517</v>
      </c>
      <c r="N15" s="3"/>
      <c r="P15" s="50"/>
    </row>
    <row r="16" spans="2:26" x14ac:dyDescent="0.2">
      <c r="B16" s="37"/>
      <c r="C16" s="38"/>
      <c r="D16" s="16"/>
      <c r="E16" s="16"/>
      <c r="F16" s="37"/>
      <c r="G16" s="38"/>
      <c r="H16" s="16"/>
      <c r="I16" s="9" t="s">
        <v>10</v>
      </c>
      <c r="J16" s="49">
        <f>J10*J11*J14*J15</f>
        <v>6.7956930823361148</v>
      </c>
      <c r="K16" s="29" t="s">
        <v>40</v>
      </c>
      <c r="M16" s="3" t="s">
        <v>22</v>
      </c>
      <c r="N16" s="3"/>
      <c r="O16" s="16"/>
      <c r="U16" s="16"/>
      <c r="V16" s="16"/>
      <c r="W16" s="16"/>
      <c r="X16" s="16"/>
      <c r="Y16" s="16"/>
    </row>
    <row r="17" spans="1:25" x14ac:dyDescent="0.2">
      <c r="B17" s="35" t="s">
        <v>27</v>
      </c>
      <c r="C17" s="35"/>
      <c r="D17" s="16"/>
      <c r="E17" s="16"/>
      <c r="F17" s="35" t="s">
        <v>29</v>
      </c>
      <c r="H17" s="9"/>
      <c r="M17" s="27">
        <f>L27</f>
        <v>243.0981932855681</v>
      </c>
      <c r="N17" s="5"/>
      <c r="O17" s="58"/>
      <c r="P17" s="118"/>
      <c r="Q17" s="35"/>
      <c r="R17" s="16"/>
      <c r="U17" s="16"/>
      <c r="V17" s="16"/>
      <c r="W17" s="16"/>
      <c r="X17" s="16"/>
      <c r="Y17" s="16"/>
    </row>
    <row r="18" spans="1:25" x14ac:dyDescent="0.2">
      <c r="F18" s="23" t="s">
        <v>28</v>
      </c>
      <c r="J18" s="117" t="s">
        <v>95</v>
      </c>
      <c r="O18" s="10"/>
      <c r="P18" s="118" t="s">
        <v>96</v>
      </c>
      <c r="Q18" s="35"/>
      <c r="R18" s="16"/>
      <c r="U18" s="16"/>
      <c r="V18" s="16"/>
      <c r="W18" s="16"/>
      <c r="X18" s="53"/>
      <c r="Y18" s="53"/>
    </row>
    <row r="19" spans="1:25" x14ac:dyDescent="0.2">
      <c r="B19" s="4" t="s">
        <v>0</v>
      </c>
      <c r="C19" s="4" t="s">
        <v>26</v>
      </c>
      <c r="D19" s="4" t="s">
        <v>1</v>
      </c>
      <c r="E19" s="4" t="s">
        <v>19</v>
      </c>
      <c r="F19" s="4" t="s">
        <v>17</v>
      </c>
      <c r="G19" s="4" t="s">
        <v>18</v>
      </c>
      <c r="H19" s="4" t="s">
        <v>15</v>
      </c>
      <c r="I19" s="4" t="s">
        <v>2</v>
      </c>
      <c r="J19" s="11" t="s">
        <v>11</v>
      </c>
      <c r="K19" s="12" t="s">
        <v>12</v>
      </c>
      <c r="L19" s="12" t="s">
        <v>21</v>
      </c>
      <c r="M19" s="12" t="s">
        <v>23</v>
      </c>
      <c r="N19" s="12" t="s">
        <v>50</v>
      </c>
      <c r="O19" s="12"/>
      <c r="P19" s="12" t="s">
        <v>91</v>
      </c>
      <c r="Q19" s="12" t="s">
        <v>90</v>
      </c>
      <c r="R19" s="12" t="s">
        <v>92</v>
      </c>
      <c r="S19" s="12" t="s">
        <v>93</v>
      </c>
      <c r="T19" s="12" t="s">
        <v>94</v>
      </c>
      <c r="U19" s="134" t="s">
        <v>23</v>
      </c>
      <c r="V19" s="12" t="s">
        <v>97</v>
      </c>
      <c r="W19" s="16"/>
      <c r="X19" s="35"/>
      <c r="Y19" s="35"/>
    </row>
    <row r="20" spans="1:25" x14ac:dyDescent="0.2">
      <c r="B20" s="23"/>
      <c r="C20" s="25"/>
      <c r="D20" s="23"/>
      <c r="E20" s="23"/>
      <c r="F20" s="40"/>
      <c r="G20" s="41"/>
      <c r="H20" s="32"/>
      <c r="I20" s="31"/>
      <c r="J20" s="41"/>
      <c r="K20" s="42"/>
      <c r="L20" s="43"/>
      <c r="M20" s="64"/>
      <c r="O20" s="46"/>
      <c r="P20" s="8"/>
      <c r="Q20" s="111"/>
      <c r="R20" s="119"/>
      <c r="S20" s="53"/>
      <c r="T20" s="16"/>
      <c r="U20" s="136"/>
      <c r="V20" s="30"/>
      <c r="W20" s="16"/>
      <c r="X20" s="47"/>
      <c r="Y20" s="47"/>
    </row>
    <row r="21" spans="1:25" x14ac:dyDescent="0.2">
      <c r="B21" s="5">
        <v>70</v>
      </c>
      <c r="C21" s="39" t="s">
        <v>39</v>
      </c>
      <c r="D21" s="5">
        <v>31</v>
      </c>
      <c r="E21" s="5">
        <v>31</v>
      </c>
      <c r="F21" s="67">
        <v>69.909099999999995</v>
      </c>
      <c r="G21" s="33">
        <f>F21/E21</f>
        <v>2.2551322580645161</v>
      </c>
      <c r="H21" s="15">
        <v>300</v>
      </c>
      <c r="I21" s="66" t="s">
        <v>20</v>
      </c>
      <c r="J21" s="33">
        <f>$J$10*$J$11*G21*$J$15</f>
        <v>6.8202877996804876</v>
      </c>
      <c r="K21" s="26">
        <f>$J$7*(1+$J$6*(J21-$J$16)/$J$16)</f>
        <v>108.58141765919798</v>
      </c>
      <c r="L21" s="34">
        <f>$J$13/K21*$J$8/1000000</f>
        <v>242.64828780007301</v>
      </c>
      <c r="M21" s="64">
        <f>L21-$M$17</f>
        <v>-0.44990548549509413</v>
      </c>
      <c r="N21" s="30">
        <f t="shared" ref="N21:N36" si="0">IF(ABS(M21)&gt;$M$15,M21-$M$15*SIGN(M21)*INT(M21/$M$15),M21)</f>
        <v>-0.44990548549509413</v>
      </c>
      <c r="O21" s="46"/>
      <c r="P21" s="8">
        <f t="shared" ref="P21" si="1">$J$16/G21/$J$15</f>
        <v>0.96984512393931344</v>
      </c>
      <c r="Q21" s="111">
        <f t="shared" ref="Q21:Q37" si="2">SQRT(P21^2+1)</f>
        <v>1.3930540421781425</v>
      </c>
      <c r="R21" s="119">
        <f t="shared" ref="R21:R37" si="3">SQRT(1-1/Q21^2)</f>
        <v>0.69620064590092223</v>
      </c>
      <c r="S21" s="53">
        <f t="shared" ref="S21" si="4">(1-(Q21/$J$5)^2)*(R21/$J$11-1)</f>
        <v>-6.502661328301453E-6</v>
      </c>
      <c r="T21" s="16">
        <f t="shared" ref="T21" si="5">-(G21/$J$14-1)*$J$6</f>
        <v>-1.8584393725594036E-3</v>
      </c>
      <c r="U21" s="135">
        <f t="shared" ref="U21" si="6">(S21+T21)*$M$17</f>
        <v>-0.45336403902041378</v>
      </c>
      <c r="V21" s="30">
        <f t="shared" ref="V21:V37" si="7">IF(ABS(U21)&gt;$M$15,U21+$M$15*SIGN(U21)*INT(U21/$M$15),U21)</f>
        <v>-0.45336403902041378</v>
      </c>
      <c r="W21" s="16"/>
      <c r="X21" s="53"/>
      <c r="Y21" s="53"/>
    </row>
    <row r="22" spans="1:25" ht="15" x14ac:dyDescent="0.2">
      <c r="N22" s="30"/>
      <c r="Q22" s="63"/>
      <c r="R22" s="86"/>
      <c r="S22" s="58"/>
      <c r="T22" s="16"/>
      <c r="U22" s="135"/>
      <c r="V22" s="53"/>
      <c r="W22" s="16"/>
      <c r="X22" s="53"/>
      <c r="Y22" s="53"/>
    </row>
    <row r="23" spans="1:25" x14ac:dyDescent="0.2">
      <c r="B23">
        <f>D23*2.25</f>
        <v>36</v>
      </c>
      <c r="C23" s="2" t="s">
        <v>45</v>
      </c>
      <c r="D23">
        <v>16</v>
      </c>
      <c r="E23">
        <f>D23</f>
        <v>16</v>
      </c>
      <c r="F23" s="40">
        <v>35.958300000000001</v>
      </c>
      <c r="G23" s="55">
        <f>F23/E23</f>
        <v>2.2473937500000001</v>
      </c>
      <c r="H23" s="57">
        <v>2.2999999999999998</v>
      </c>
      <c r="I23" s="66" t="s">
        <v>20</v>
      </c>
      <c r="J23" s="69">
        <f>$J$10*$J$11*G23*$J$15</f>
        <v>6.7968839164042816</v>
      </c>
      <c r="K23" s="42">
        <f>$J$7*(1+$J$6*(J23-$J$16)/$J$16)</f>
        <v>108.38975229790792</v>
      </c>
      <c r="L23" s="70">
        <f>$J$13/K23*$J$8/1000000</f>
        <v>243.07736223526308</v>
      </c>
      <c r="M23" s="70">
        <f>L23-$M$17</f>
        <v>-2.0831050305019971E-2</v>
      </c>
      <c r="N23" s="30">
        <f t="shared" si="0"/>
        <v>-2.0831050305019971E-2</v>
      </c>
      <c r="O23" s="46"/>
      <c r="P23" s="8">
        <f t="shared" ref="P23" si="8">$J$16/G23/$J$15</f>
        <v>0.97318461632374142</v>
      </c>
      <c r="Q23" s="111">
        <f t="shared" si="2"/>
        <v>1.3953810581519257</v>
      </c>
      <c r="R23" s="119">
        <f t="shared" si="3"/>
        <v>0.69743287013846178</v>
      </c>
      <c r="S23" s="53">
        <f t="shared" ref="S23" si="9">(1-(Q23/$J$5)^2)*(R23/$J$11-1)</f>
        <v>-1.5337464570734356E-8</v>
      </c>
      <c r="T23" s="16">
        <f t="shared" ref="T23" si="10">-(G23/$J$14-1)*$J$6</f>
        <v>-8.9982449787065781E-5</v>
      </c>
      <c r="U23" s="135">
        <f t="shared" ref="U23" si="11">(S23+T23)*$M$17</f>
        <v>-2.187829948057177E-2</v>
      </c>
      <c r="V23" s="30">
        <f t="shared" si="7"/>
        <v>-2.187829948057177E-2</v>
      </c>
      <c r="W23" s="16"/>
      <c r="X23" s="53"/>
      <c r="Y23" s="53"/>
    </row>
    <row r="24" spans="1:25" x14ac:dyDescent="0.2">
      <c r="B24">
        <f>D24*2.25</f>
        <v>45</v>
      </c>
      <c r="C24" s="2" t="s">
        <v>44</v>
      </c>
      <c r="D24">
        <v>20</v>
      </c>
      <c r="E24">
        <f>D24</f>
        <v>20</v>
      </c>
      <c r="F24" s="40">
        <v>44.9452</v>
      </c>
      <c r="G24" s="55">
        <f>F24/E24</f>
        <v>2.2472599999999998</v>
      </c>
      <c r="H24" s="57">
        <v>7.9</v>
      </c>
      <c r="I24" s="66" t="s">
        <v>20</v>
      </c>
      <c r="J24" s="69">
        <f>$J$10*$J$11*G24*$J$15</f>
        <v>6.7964794108636655</v>
      </c>
      <c r="K24" s="42">
        <f>$J$7*(1+$J$6*(J24-$J$16)/$J$16)</f>
        <v>108.3864396125868</v>
      </c>
      <c r="L24" s="70">
        <f>$J$13/K24*$J$8/1000000</f>
        <v>243.08479156694565</v>
      </c>
      <c r="M24" s="70">
        <f>L24-$M$17</f>
        <v>-1.3401718622446879E-2</v>
      </c>
      <c r="N24" s="30">
        <f t="shared" si="0"/>
        <v>-1.3401718622446879E-2</v>
      </c>
      <c r="O24" s="46"/>
      <c r="P24" s="8">
        <f t="shared" ref="P24:P37" si="12">$J$16/G24/$J$15</f>
        <v>0.97324253727745103</v>
      </c>
      <c r="Q24" s="111">
        <f t="shared" si="2"/>
        <v>1.3954214547462893</v>
      </c>
      <c r="R24" s="119">
        <f t="shared" si="3"/>
        <v>0.69745418774172596</v>
      </c>
      <c r="S24" s="53">
        <f t="shared" ref="S24:S37" si="13">(1-(Q24/$J$5)^2)*(R24/$J$11-1)</f>
        <v>-6.688132861411798E-9</v>
      </c>
      <c r="T24" s="16">
        <f t="shared" ref="T24:T37" si="14">-(G24/$J$14-1)*$J$6</f>
        <v>-5.941698271645832E-5</v>
      </c>
      <c r="U24" s="135">
        <f t="shared" ref="U24:U37" si="15">(S24+T24)*$M$17</f>
        <v>-1.4445787021865907E-2</v>
      </c>
      <c r="V24" s="30">
        <f t="shared" si="7"/>
        <v>-1.4445787021865907E-2</v>
      </c>
      <c r="W24" s="16"/>
      <c r="X24" s="53"/>
      <c r="Y24" s="53"/>
    </row>
    <row r="25" spans="1:25" x14ac:dyDescent="0.2">
      <c r="B25">
        <v>72</v>
      </c>
      <c r="C25" s="2" t="s">
        <v>37</v>
      </c>
      <c r="D25">
        <v>33</v>
      </c>
      <c r="E25">
        <v>32</v>
      </c>
      <c r="F25">
        <v>71.909199999999998</v>
      </c>
      <c r="G25" s="55">
        <f>F25/E25</f>
        <v>2.2471625</v>
      </c>
      <c r="H25">
        <v>39</v>
      </c>
      <c r="I25" s="66">
        <f>26*24*3600</f>
        <v>2246400</v>
      </c>
      <c r="J25" s="41">
        <f>$J$10*$J$11*G25*$J$15</f>
        <v>6.7961845376658347</v>
      </c>
      <c r="K25" s="42">
        <f>$J$7*(1+$J$6*(J25-$J$16)/$J$16)</f>
        <v>108.38402475786677</v>
      </c>
      <c r="L25" s="43">
        <f>$J$13/K25*$J$8/1000000</f>
        <v>243.09020762763902</v>
      </c>
      <c r="M25" s="43">
        <f>L25-$M$17</f>
        <v>-7.9856579290833452E-3</v>
      </c>
      <c r="N25" s="30">
        <f t="shared" si="0"/>
        <v>-7.9856579290833452E-3</v>
      </c>
      <c r="O25" s="46"/>
      <c r="P25" s="8">
        <f t="shared" si="12"/>
        <v>0.97328476437379341</v>
      </c>
      <c r="Q25" s="111">
        <f t="shared" si="2"/>
        <v>1.3954509065395853</v>
      </c>
      <c r="R25" s="119">
        <f t="shared" si="3"/>
        <v>0.69746972810912267</v>
      </c>
      <c r="S25" s="53">
        <f t="shared" si="13"/>
        <v>-2.6127525697782765E-9</v>
      </c>
      <c r="T25" s="16">
        <f t="shared" si="14"/>
        <v>-3.7135614197814952E-5</v>
      </c>
      <c r="U25" s="135">
        <f t="shared" si="15"/>
        <v>-9.028235873467922E-3</v>
      </c>
      <c r="V25" s="30">
        <f t="shared" si="7"/>
        <v>-9.028235873467922E-3</v>
      </c>
      <c r="W25" s="16"/>
      <c r="X25" s="53"/>
      <c r="Y25" s="53"/>
    </row>
    <row r="26" spans="1:25" x14ac:dyDescent="0.2">
      <c r="A26" s="25" t="s">
        <v>52</v>
      </c>
      <c r="B26" s="129">
        <v>72</v>
      </c>
      <c r="C26" s="123" t="s">
        <v>36</v>
      </c>
      <c r="D26" s="104">
        <v>32</v>
      </c>
      <c r="E26" s="104">
        <v>32</v>
      </c>
      <c r="F26" s="130">
        <f>71.9046*(1+0.69/72/931.49)</f>
        <v>71.905339767200942</v>
      </c>
      <c r="G26" s="104">
        <f>F26/E26</f>
        <v>2.2470418677250295</v>
      </c>
      <c r="H26" s="131">
        <f>H27*0.05</f>
        <v>39</v>
      </c>
      <c r="I26" s="132">
        <v>1</v>
      </c>
      <c r="J26" s="105">
        <f>$J$10*$J$11*G26*$J$15</f>
        <v>6.7958197045921702</v>
      </c>
      <c r="K26" s="106">
        <f>$J$7*(1+$J$6*(J26-$J$16)/$J$16)</f>
        <v>108.38103696895801</v>
      </c>
      <c r="L26" s="107">
        <f>$J$13/K26*$J$8/1000000</f>
        <v>243.09690900498774</v>
      </c>
      <c r="M26" s="133">
        <f>L26-$M$17</f>
        <v>-1.2842805803643387E-3</v>
      </c>
      <c r="N26" s="108">
        <f t="shared" si="0"/>
        <v>-1.2842805803643387E-3</v>
      </c>
      <c r="O26" s="116"/>
      <c r="P26" s="120">
        <f t="shared" si="12"/>
        <v>0.97333701509373183</v>
      </c>
      <c r="Q26" s="121">
        <f t="shared" si="2"/>
        <v>1.3954873503373564</v>
      </c>
      <c r="R26" s="122">
        <f t="shared" si="3"/>
        <v>0.69748895599693506</v>
      </c>
      <c r="S26" s="123">
        <f t="shared" si="13"/>
        <v>-1.7345688867695782E-10</v>
      </c>
      <c r="T26" s="124">
        <f t="shared" si="14"/>
        <v>-9.5678995941187493E-6</v>
      </c>
      <c r="U26" s="135">
        <f t="shared" si="15"/>
        <v>-2.3259812719242387E-3</v>
      </c>
      <c r="V26" s="108">
        <f t="shared" si="7"/>
        <v>-2.3259812719242387E-3</v>
      </c>
      <c r="W26" s="59"/>
      <c r="X26" s="35"/>
      <c r="Y26" s="53"/>
    </row>
    <row r="27" spans="1:25" x14ac:dyDescent="0.2">
      <c r="A27" s="25" t="s">
        <v>51</v>
      </c>
      <c r="B27" s="73">
        <v>72</v>
      </c>
      <c r="C27" s="74" t="s">
        <v>36</v>
      </c>
      <c r="D27" s="75">
        <v>32</v>
      </c>
      <c r="E27" s="75">
        <v>32</v>
      </c>
      <c r="F27" s="76">
        <v>71.904600000000002</v>
      </c>
      <c r="G27" s="75">
        <f>F27/E27</f>
        <v>2.2470187500000001</v>
      </c>
      <c r="H27" s="77">
        <v>780</v>
      </c>
      <c r="I27" s="78" t="s">
        <v>20</v>
      </c>
      <c r="J27" s="79">
        <f>$J$10*$J$11*G27*$J$15</f>
        <v>6.7957497887203138</v>
      </c>
      <c r="K27" s="80">
        <f>$J$7*(1+$J$6*(J27-$J$16)/$J$16)</f>
        <v>108.38046439513847</v>
      </c>
      <c r="L27" s="81">
        <f>$J$13/K27*$J$8/1000000</f>
        <v>243.0981932855681</v>
      </c>
      <c r="M27" s="81">
        <f>L27-$M$17</f>
        <v>0</v>
      </c>
      <c r="N27" s="82">
        <f t="shared" si="0"/>
        <v>0</v>
      </c>
      <c r="O27" s="83"/>
      <c r="P27" s="125">
        <f t="shared" si="12"/>
        <v>0.97334702895653391</v>
      </c>
      <c r="Q27" s="126">
        <f t="shared" si="2"/>
        <v>1.3954943349145175</v>
      </c>
      <c r="R27" s="127">
        <f t="shared" si="3"/>
        <v>0.69749264085415097</v>
      </c>
      <c r="S27" s="74">
        <f t="shared" si="13"/>
        <v>-3.4789106873790803E-11</v>
      </c>
      <c r="T27" s="128">
        <f t="shared" si="14"/>
        <v>-4.2848785613214235E-6</v>
      </c>
      <c r="U27" s="135">
        <f t="shared" si="15"/>
        <v>-1.0416546938743292E-3</v>
      </c>
      <c r="V27" s="82">
        <f t="shared" si="7"/>
        <v>-1.0416546938743292E-3</v>
      </c>
      <c r="W27" s="16"/>
      <c r="X27" s="53"/>
      <c r="Y27" s="53"/>
    </row>
    <row r="28" spans="1:25" x14ac:dyDescent="0.2">
      <c r="A28" s="25"/>
      <c r="B28">
        <f>D28*2.25</f>
        <v>63</v>
      </c>
      <c r="C28" s="2" t="s">
        <v>43</v>
      </c>
      <c r="D28">
        <v>28</v>
      </c>
      <c r="E28">
        <f>D28</f>
        <v>28</v>
      </c>
      <c r="F28" s="40">
        <v>62.914400000000001</v>
      </c>
      <c r="G28" s="55">
        <f t="shared" ref="G28:G29" si="16">F28/E28</f>
        <v>2.2469428571428574</v>
      </c>
      <c r="H28" s="57">
        <v>103</v>
      </c>
      <c r="I28" s="66" t="s">
        <v>20</v>
      </c>
      <c r="J28" s="69">
        <f>$J$10*$J$11*G28*$J$15</f>
        <v>6.7955202628795108</v>
      </c>
      <c r="K28" s="42">
        <f>$J$7*(1+$J$6*(J28-$J$16)/$J$16)</f>
        <v>108.37858470053037</v>
      </c>
      <c r="L28" s="70">
        <f>$J$13/K28*$J$8/1000000</f>
        <v>243.10240952777517</v>
      </c>
      <c r="M28" s="70">
        <f t="shared" ref="M28:M29" si="17">L28-$M$17</f>
        <v>4.2162422070646244E-3</v>
      </c>
      <c r="N28" s="30">
        <f t="shared" si="0"/>
        <v>4.2162422070646244E-3</v>
      </c>
      <c r="O28" s="46"/>
      <c r="P28" s="8">
        <f t="shared" si="12"/>
        <v>0.97337990477568692</v>
      </c>
      <c r="Q28" s="111">
        <f t="shared" si="2"/>
        <v>1.3955172657552917</v>
      </c>
      <c r="R28" s="119">
        <f t="shared" si="3"/>
        <v>0.69750473796457646</v>
      </c>
      <c r="S28" s="53">
        <f t="shared" si="13"/>
        <v>-3.2313991378913018E-10</v>
      </c>
      <c r="T28" s="16">
        <f t="shared" si="14"/>
        <v>1.3058677520033069E-5</v>
      </c>
      <c r="U28" s="135">
        <f t="shared" si="15"/>
        <v>3.1744623570896815E-3</v>
      </c>
      <c r="V28" s="30">
        <f t="shared" si="7"/>
        <v>3.1744623570896815E-3</v>
      </c>
      <c r="W28" s="16"/>
      <c r="X28" s="53"/>
      <c r="Y28" s="53"/>
    </row>
    <row r="29" spans="1:25" x14ac:dyDescent="0.2">
      <c r="B29">
        <f>D29*2.25</f>
        <v>54</v>
      </c>
      <c r="C29" s="2" t="s">
        <v>46</v>
      </c>
      <c r="D29">
        <v>24</v>
      </c>
      <c r="E29">
        <f t="shared" ref="E29" si="18">D29</f>
        <v>24</v>
      </c>
      <c r="F29" s="40">
        <v>53.925699999999999</v>
      </c>
      <c r="G29" s="55">
        <f t="shared" si="16"/>
        <v>2.2469041666666665</v>
      </c>
      <c r="H29" s="57">
        <v>28.5</v>
      </c>
      <c r="I29" s="66" t="s">
        <v>20</v>
      </c>
      <c r="J29" s="69">
        <f>$J$10*$J$11*G29*$J$15</f>
        <v>6.7954032497057675</v>
      </c>
      <c r="K29" s="42">
        <f>$J$7*(1+$J$6*(J29-$J$16)/$J$16)</f>
        <v>108.3776264248478</v>
      </c>
      <c r="L29" s="70">
        <f>$J$13/K29*$J$8/1000000</f>
        <v>243.10455904087218</v>
      </c>
      <c r="M29" s="70">
        <f t="shared" si="17"/>
        <v>6.3657553040741277E-3</v>
      </c>
      <c r="N29" s="30">
        <f t="shared" si="0"/>
        <v>6.3657553040741277E-3</v>
      </c>
      <c r="O29" s="46"/>
      <c r="P29" s="8">
        <f t="shared" si="12"/>
        <v>0.97339666585192197</v>
      </c>
      <c r="Q29" s="111">
        <f t="shared" si="2"/>
        <v>1.3955289567370639</v>
      </c>
      <c r="R29" s="119">
        <f t="shared" si="3"/>
        <v>0.69751090520389869</v>
      </c>
      <c r="S29" s="53">
        <f t="shared" si="13"/>
        <v>-9.0889377520435168E-10</v>
      </c>
      <c r="T29" s="16">
        <f t="shared" si="14"/>
        <v>2.1900490424386032E-5</v>
      </c>
      <c r="U29" s="135">
        <f t="shared" si="15"/>
        <v>5.3237487038014881E-3</v>
      </c>
      <c r="V29" s="30">
        <f t="shared" si="7"/>
        <v>5.3237487038014881E-3</v>
      </c>
      <c r="W29" s="16"/>
      <c r="X29" s="53"/>
      <c r="Y29" s="53"/>
    </row>
    <row r="30" spans="1:25" x14ac:dyDescent="0.2">
      <c r="N30" s="30"/>
      <c r="P30" s="8"/>
      <c r="Q30" s="111"/>
      <c r="R30" s="119"/>
      <c r="S30" s="53"/>
      <c r="T30" s="16"/>
      <c r="U30" s="135"/>
      <c r="V30" s="30"/>
      <c r="W30" s="16"/>
      <c r="X30" s="53"/>
      <c r="Y30" s="53"/>
    </row>
    <row r="31" spans="1:25" x14ac:dyDescent="0.2">
      <c r="B31" s="47">
        <v>74</v>
      </c>
      <c r="C31" s="53" t="s">
        <v>37</v>
      </c>
      <c r="D31" s="55">
        <v>33</v>
      </c>
      <c r="E31" s="55">
        <v>33</v>
      </c>
      <c r="F31" s="56">
        <v>73.905900000000003</v>
      </c>
      <c r="G31" s="55">
        <f t="shared" ref="G31:G37" si="19">F31/E31</f>
        <v>2.2395727272727273</v>
      </c>
      <c r="H31" s="68">
        <v>1900</v>
      </c>
      <c r="I31" s="66" t="s">
        <v>20</v>
      </c>
      <c r="J31" s="41">
        <f>$J$10*$J$11*G31*$J$15</f>
        <v>6.7732304806924342</v>
      </c>
      <c r="K31" s="42">
        <f>$J$7*(1+$J$6*(J31-$J$16)/$J$16)</f>
        <v>108.19604323484521</v>
      </c>
      <c r="L31" s="43">
        <f>$J$13/K31*$J$8/1000000</f>
        <v>243.51255641318829</v>
      </c>
      <c r="M31" s="43">
        <f t="shared" ref="M31:M37" si="20">L31-$M$17</f>
        <v>0.41436312762019156</v>
      </c>
      <c r="N31" s="30">
        <f t="shared" si="0"/>
        <v>0.41436312762019156</v>
      </c>
      <c r="O31" s="46"/>
      <c r="P31" s="8">
        <f t="shared" si="12"/>
        <v>0.97658316592626715</v>
      </c>
      <c r="Q31" s="111">
        <f t="shared" si="2"/>
        <v>1.3977534403358023</v>
      </c>
      <c r="R31" s="119">
        <f t="shared" si="3"/>
        <v>0.69868056678984003</v>
      </c>
      <c r="S31" s="53">
        <f t="shared" si="13"/>
        <v>-5.4909891950739556E-6</v>
      </c>
      <c r="T31" s="16">
        <f t="shared" si="14"/>
        <v>1.6973312894886599E-3</v>
      </c>
      <c r="U31" s="135">
        <f t="shared" si="15"/>
        <v>0.41128332032908377</v>
      </c>
      <c r="V31" s="30">
        <f t="shared" si="7"/>
        <v>0.41128332032908377</v>
      </c>
      <c r="Y31" s="53"/>
    </row>
    <row r="32" spans="1:25" x14ac:dyDescent="0.2">
      <c r="B32">
        <v>65</v>
      </c>
      <c r="C32" s="25" t="s">
        <v>48</v>
      </c>
      <c r="D32">
        <v>29</v>
      </c>
      <c r="E32">
        <v>29</v>
      </c>
      <c r="F32">
        <v>64.911900000000003</v>
      </c>
      <c r="G32" s="55">
        <f t="shared" si="19"/>
        <v>2.238341379310345</v>
      </c>
      <c r="H32" s="14">
        <v>209</v>
      </c>
      <c r="I32" s="1"/>
      <c r="J32" s="41">
        <f>$J$10*$J$11*G32*$J$15</f>
        <v>6.7695064651918075</v>
      </c>
      <c r="K32" s="42">
        <f>$J$7*(1+$J$6*(J32-$J$16)/$J$16)</f>
        <v>108.16554552777866</v>
      </c>
      <c r="L32" s="43">
        <f>$J$13/K32*$J$8/1000000</f>
        <v>243.58121574991401</v>
      </c>
      <c r="M32" s="43">
        <f t="shared" si="20"/>
        <v>0.48302246434590757</v>
      </c>
      <c r="N32" s="30">
        <f t="shared" si="0"/>
        <v>0.48302246434590757</v>
      </c>
      <c r="O32" s="46"/>
      <c r="P32" s="8">
        <f t="shared" si="12"/>
        <v>0.97712040019382584</v>
      </c>
      <c r="Q32" s="111">
        <f t="shared" si="2"/>
        <v>1.3981288483093903</v>
      </c>
      <c r="R32" s="119">
        <f t="shared" si="3"/>
        <v>0.69887721820156579</v>
      </c>
      <c r="S32" s="53">
        <f t="shared" si="13"/>
        <v>-7.4698490298858702E-6</v>
      </c>
      <c r="T32" s="16">
        <f t="shared" si="14"/>
        <v>1.9787273687150667E-3</v>
      </c>
      <c r="U32" s="135">
        <f t="shared" si="15"/>
        <v>0.47920914153605765</v>
      </c>
      <c r="V32" s="30">
        <f t="shared" si="7"/>
        <v>0.47920914153605765</v>
      </c>
      <c r="Y32" s="53"/>
    </row>
    <row r="33" spans="1:25" x14ac:dyDescent="0.2">
      <c r="B33" s="47">
        <v>76</v>
      </c>
      <c r="C33" s="53" t="s">
        <v>42</v>
      </c>
      <c r="D33" s="47">
        <v>34</v>
      </c>
      <c r="E33" s="47">
        <v>34</v>
      </c>
      <c r="F33">
        <v>75.900599999999997</v>
      </c>
      <c r="G33" s="55">
        <f t="shared" si="19"/>
        <v>2.2323705882352942</v>
      </c>
      <c r="H33" s="65">
        <v>450</v>
      </c>
      <c r="I33" s="66" t="s">
        <v>20</v>
      </c>
      <c r="J33" s="41">
        <f>$J$10*$J$11*G33*$J$15</f>
        <v>6.7514487599827291</v>
      </c>
      <c r="K33" s="42">
        <f>$J$7*(1+$J$6*(J33-$J$16)/$J$16)</f>
        <v>108.01766252254738</v>
      </c>
      <c r="L33" s="43">
        <f>$J$13/K33*$J$8/1000000</f>
        <v>243.91469382527475</v>
      </c>
      <c r="M33" s="43">
        <f t="shared" si="20"/>
        <v>0.81650053970665226</v>
      </c>
      <c r="N33" s="30">
        <f t="shared" si="0"/>
        <v>0.81650053970665226</v>
      </c>
      <c r="O33" s="46"/>
      <c r="P33" s="8">
        <f t="shared" si="12"/>
        <v>0.97973384699135746</v>
      </c>
      <c r="Q33" s="111">
        <f t="shared" si="2"/>
        <v>1.3999565746624016</v>
      </c>
      <c r="R33" s="119">
        <f t="shared" si="3"/>
        <v>0.69983159815340656</v>
      </c>
      <c r="S33" s="53">
        <f t="shared" si="13"/>
        <v>-2.1424947650509087E-5</v>
      </c>
      <c r="T33" s="16">
        <f t="shared" si="14"/>
        <v>3.3432134845231237E-3</v>
      </c>
      <c r="U33" s="135">
        <f t="shared" si="15"/>
        <v>0.80752079179044334</v>
      </c>
      <c r="V33" s="30">
        <f t="shared" si="7"/>
        <v>0.80752079179044334</v>
      </c>
      <c r="Y33" s="53"/>
    </row>
    <row r="34" spans="1:25" x14ac:dyDescent="0.2">
      <c r="B34">
        <v>67</v>
      </c>
      <c r="C34" s="25" t="s">
        <v>47</v>
      </c>
      <c r="D34">
        <v>30</v>
      </c>
      <c r="E34">
        <v>30</v>
      </c>
      <c r="F34">
        <v>66.910700000000006</v>
      </c>
      <c r="G34" s="55">
        <f t="shared" si="19"/>
        <v>2.2303566666666668</v>
      </c>
      <c r="H34" s="14">
        <v>444</v>
      </c>
      <c r="I34" s="1"/>
      <c r="J34" s="41">
        <f>$J$10*$J$11*G34*$J$15</f>
        <v>6.7453579754378747</v>
      </c>
      <c r="K34" s="42">
        <f>$J$7*(1+$J$6*(J34-$J$16)/$J$16)</f>
        <v>107.96778223530819</v>
      </c>
      <c r="L34" s="43">
        <f>$J$13/K34*$J$8/1000000</f>
        <v>244.02738054290455</v>
      </c>
      <c r="M34" s="43">
        <f t="shared" si="20"/>
        <v>0.92918725733645147</v>
      </c>
      <c r="N34" s="30">
        <f t="shared" si="0"/>
        <v>0.92918725733645147</v>
      </c>
      <c r="O34" s="46"/>
      <c r="P34" s="8">
        <f t="shared" si="12"/>
        <v>0.98061850690044694</v>
      </c>
      <c r="Q34" s="111">
        <f t="shared" si="2"/>
        <v>1.4005758301768818</v>
      </c>
      <c r="R34" s="119">
        <f t="shared" si="3"/>
        <v>0.70015381229062212</v>
      </c>
      <c r="S34" s="53">
        <f t="shared" si="13"/>
        <v>-2.777408071608364E-5</v>
      </c>
      <c r="T34" s="16">
        <f t="shared" si="14"/>
        <v>3.8034486500443557E-3</v>
      </c>
      <c r="U34" s="135">
        <f t="shared" si="15"/>
        <v>0.91785966623796844</v>
      </c>
      <c r="V34" s="30">
        <f t="shared" si="7"/>
        <v>0.91785966623796844</v>
      </c>
      <c r="Y34" s="53"/>
    </row>
    <row r="35" spans="1:25" x14ac:dyDescent="0.2">
      <c r="B35">
        <v>71</v>
      </c>
      <c r="C35" s="25" t="s">
        <v>36</v>
      </c>
      <c r="D35">
        <v>32</v>
      </c>
      <c r="E35">
        <v>32</v>
      </c>
      <c r="F35" s="40">
        <v>70.907499999999999</v>
      </c>
      <c r="G35" s="55">
        <f t="shared" si="19"/>
        <v>2.215859375</v>
      </c>
      <c r="H35" s="14">
        <v>203</v>
      </c>
      <c r="I35" s="1"/>
      <c r="J35" s="41">
        <f>$J$10*$J$11*G35*$J$15</f>
        <v>6.7015132292466078</v>
      </c>
      <c r="K35" s="42">
        <f>$J$7*(1+$J$6*(J35-$J$16)/$J$16)</f>
        <v>107.6087170741875</v>
      </c>
      <c r="L35" s="43">
        <f>$J$13/K35*$J$8/1000000</f>
        <v>244.84164292884205</v>
      </c>
      <c r="M35" s="43">
        <f t="shared" si="20"/>
        <v>1.7434496432739479</v>
      </c>
      <c r="N35" s="30">
        <f t="shared" si="0"/>
        <v>1.7434496432739479</v>
      </c>
      <c r="O35" s="46"/>
      <c r="P35" s="8">
        <f t="shared" si="12"/>
        <v>0.98703421751306963</v>
      </c>
      <c r="Q35" s="111">
        <f t="shared" si="2"/>
        <v>1.4050752814499434</v>
      </c>
      <c r="R35" s="119">
        <f t="shared" si="3"/>
        <v>0.70247781776825269</v>
      </c>
      <c r="S35" s="53">
        <f t="shared" si="13"/>
        <v>-9.8359827673253649E-5</v>
      </c>
      <c r="T35" s="16">
        <f t="shared" si="14"/>
        <v>7.1164691438687271E-3</v>
      </c>
      <c r="U35" s="135">
        <f t="shared" si="15"/>
        <v>1.7060896950477333</v>
      </c>
      <c r="V35" s="30">
        <f t="shared" si="7"/>
        <v>1.7060896950477333</v>
      </c>
      <c r="Y35" s="53"/>
    </row>
    <row r="36" spans="1:25" x14ac:dyDescent="0.2">
      <c r="B36">
        <v>62</v>
      </c>
      <c r="C36" s="25" t="s">
        <v>43</v>
      </c>
      <c r="D36">
        <v>28</v>
      </c>
      <c r="E36">
        <v>28</v>
      </c>
      <c r="F36">
        <v>61.912999999999997</v>
      </c>
      <c r="G36" s="55">
        <f t="shared" si="19"/>
        <v>2.2111785714285714</v>
      </c>
      <c r="H36" s="14">
        <v>187</v>
      </c>
      <c r="J36" s="41">
        <f>$J$10*$J$11*G36*$J$15</f>
        <v>6.6873568854770795</v>
      </c>
      <c r="K36" s="42">
        <f>$J$7*(1+$J$6*(J36-$J$16)/$J$16)</f>
        <v>107.49278414497607</v>
      </c>
      <c r="L36" s="43">
        <f>$J$13/K36*$J$8/1000000</f>
        <v>245.10570910857177</v>
      </c>
      <c r="M36" s="43">
        <f t="shared" si="20"/>
        <v>2.007515823003672</v>
      </c>
      <c r="N36" s="30">
        <f t="shared" si="0"/>
        <v>7.8165082642020378E-2</v>
      </c>
      <c r="O36" s="46"/>
      <c r="P36" s="8">
        <f t="shared" si="12"/>
        <v>0.98912365223813226</v>
      </c>
      <c r="Q36" s="111">
        <f t="shared" si="2"/>
        <v>1.4065438490914179</v>
      </c>
      <c r="R36" s="119">
        <f t="shared" si="3"/>
        <v>0.70322987290945405</v>
      </c>
      <c r="S36" s="53">
        <f t="shared" si="13"/>
        <v>-1.3063824584391684E-4</v>
      </c>
      <c r="T36" s="16">
        <f t="shared" si="14"/>
        <v>8.1861584704182484E-3</v>
      </c>
      <c r="U36" s="135">
        <f t="shared" si="15"/>
        <v>1.9582824125693739</v>
      </c>
      <c r="V36" s="30">
        <f t="shared" si="7"/>
        <v>3.8876331529310253</v>
      </c>
      <c r="Y36" s="53"/>
    </row>
    <row r="37" spans="1:25" x14ac:dyDescent="0.2">
      <c r="B37">
        <v>64</v>
      </c>
      <c r="C37" s="25" t="s">
        <v>48</v>
      </c>
      <c r="D37">
        <v>29</v>
      </c>
      <c r="E37">
        <v>29</v>
      </c>
      <c r="F37">
        <v>63.913899999999998</v>
      </c>
      <c r="G37" s="55">
        <f t="shared" si="19"/>
        <v>2.2039275862068965</v>
      </c>
      <c r="H37" s="14">
        <v>126</v>
      </c>
      <c r="I37" s="1"/>
      <c r="J37" s="41">
        <f>$J$10*$J$11*G37*$J$15</f>
        <v>6.6654274372745608</v>
      </c>
      <c r="K37" s="42">
        <f>$J$7*(1+$J$6*(J37-$J$16)/$J$16)</f>
        <v>107.31319362305183</v>
      </c>
      <c r="L37" s="43">
        <f>$J$13/K37*$J$8/1000000</f>
        <v>245.51589783503945</v>
      </c>
      <c r="M37" s="43">
        <f t="shared" si="20"/>
        <v>2.4177045494713525</v>
      </c>
      <c r="N37" s="30">
        <f>IF(ABS(M37)&gt;$M$15,M37-$M$15*SIGN(M37)*INT(M37/$M$15),M37)</f>
        <v>0.48835380910970083</v>
      </c>
      <c r="O37" s="46"/>
      <c r="P37" s="8">
        <f t="shared" si="12"/>
        <v>0.99237789753624184</v>
      </c>
      <c r="Q37" s="111">
        <f t="shared" si="2"/>
        <v>1.4088342313836826</v>
      </c>
      <c r="R37" s="119">
        <f t="shared" si="3"/>
        <v>0.70439649706806218</v>
      </c>
      <c r="S37" s="53">
        <f t="shared" si="13"/>
        <v>-1.8997667357253684E-4</v>
      </c>
      <c r="T37" s="16">
        <f t="shared" si="14"/>
        <v>9.8432033303945052E-3</v>
      </c>
      <c r="U37" s="135">
        <f t="shared" si="15"/>
        <v>2.3466819596495054</v>
      </c>
      <c r="V37" s="30">
        <f t="shared" si="7"/>
        <v>4.2760327000111573</v>
      </c>
      <c r="Y37" s="53"/>
    </row>
    <row r="38" spans="1:25" x14ac:dyDescent="0.2">
      <c r="O38" s="36"/>
      <c r="P38" s="1"/>
      <c r="Q38" s="1"/>
      <c r="Y38" s="53"/>
    </row>
    <row r="39" spans="1:25" x14ac:dyDescent="0.2">
      <c r="N39" s="30"/>
      <c r="O39" s="36"/>
      <c r="P39" s="1"/>
      <c r="Q39" s="1"/>
      <c r="Y39" s="53"/>
    </row>
    <row r="40" spans="1:25" x14ac:dyDescent="0.2">
      <c r="G40" s="33"/>
      <c r="H40" s="14"/>
      <c r="I40" s="1"/>
      <c r="J40" s="33"/>
      <c r="K40" s="26"/>
      <c r="L40" s="34"/>
      <c r="M40" s="60"/>
      <c r="N40" s="46"/>
      <c r="O40" s="36"/>
      <c r="P40" s="1"/>
      <c r="Q40" s="1"/>
      <c r="Y40" s="53"/>
    </row>
    <row r="41" spans="1:25" x14ac:dyDescent="0.2">
      <c r="C41" s="2"/>
      <c r="F41" s="40"/>
      <c r="G41" s="33"/>
      <c r="H41" s="14"/>
      <c r="I41" s="1"/>
      <c r="J41" s="33"/>
      <c r="K41" s="26"/>
      <c r="L41" s="34"/>
      <c r="M41" s="60"/>
      <c r="N41" s="46"/>
      <c r="O41" s="36"/>
      <c r="P41" s="1"/>
      <c r="Q41" s="1"/>
      <c r="Y41" s="53"/>
    </row>
    <row r="42" spans="1:25" x14ac:dyDescent="0.2">
      <c r="C42" s="2"/>
      <c r="F42" s="40"/>
      <c r="G42" s="33"/>
      <c r="H42" s="14"/>
      <c r="I42" s="1"/>
      <c r="J42" s="33"/>
      <c r="K42" s="26"/>
      <c r="L42" s="34"/>
      <c r="M42" s="60"/>
      <c r="N42" s="46"/>
      <c r="O42" s="36"/>
      <c r="P42" s="1"/>
      <c r="Q42" s="1"/>
      <c r="Y42" s="16"/>
    </row>
    <row r="43" spans="1:25" x14ac:dyDescent="0.2">
      <c r="S43" s="31"/>
      <c r="Y43" s="16"/>
    </row>
    <row r="44" spans="1:25" x14ac:dyDescent="0.2">
      <c r="Y44" s="16"/>
    </row>
    <row r="45" spans="1:25" x14ac:dyDescent="0.2">
      <c r="A45" s="5"/>
    </row>
    <row r="46" spans="1:25" x14ac:dyDescent="0.2">
      <c r="A46" s="5"/>
    </row>
    <row r="47" spans="1:25" x14ac:dyDescent="0.2">
      <c r="C47" s="17"/>
      <c r="D47" s="5"/>
      <c r="E47" s="5"/>
      <c r="F47" s="5"/>
      <c r="G47" s="5"/>
      <c r="H47" s="18"/>
      <c r="I47" s="18"/>
      <c r="J47" s="19"/>
      <c r="K47" s="18"/>
      <c r="L47" s="6"/>
      <c r="M47" s="13"/>
      <c r="P47" s="5"/>
      <c r="Q47" s="5"/>
    </row>
    <row r="48" spans="1:25" x14ac:dyDescent="0.2">
      <c r="P48" s="5"/>
      <c r="Q48" s="5"/>
    </row>
    <row r="49" spans="16:20" x14ac:dyDescent="0.2">
      <c r="P49" s="20"/>
      <c r="Q49" s="20"/>
    </row>
    <row r="50" spans="16:20" x14ac:dyDescent="0.2">
      <c r="P50" s="5"/>
      <c r="Q50" s="5"/>
    </row>
    <row r="51" spans="16:20" x14ac:dyDescent="0.2">
      <c r="P51" s="5"/>
      <c r="Q51" s="5"/>
    </row>
    <row r="52" spans="16:20" x14ac:dyDescent="0.2">
      <c r="P52" s="5"/>
      <c r="Q52" s="5"/>
    </row>
    <row r="53" spans="16:20" x14ac:dyDescent="0.2">
      <c r="P53" s="5"/>
      <c r="Q53" s="5"/>
      <c r="S53" s="1"/>
      <c r="T53" s="1"/>
    </row>
    <row r="54" spans="16:20" x14ac:dyDescent="0.2">
      <c r="P54" s="5"/>
      <c r="Q54" s="5"/>
    </row>
    <row r="55" spans="16:20" x14ac:dyDescent="0.2">
      <c r="P55" s="5"/>
      <c r="Q55" s="5"/>
    </row>
    <row r="56" spans="16:20" x14ac:dyDescent="0.2">
      <c r="P56" s="5"/>
      <c r="Q56" s="5"/>
    </row>
    <row r="57" spans="16:20" x14ac:dyDescent="0.2">
      <c r="P57" s="5"/>
      <c r="Q57" s="5"/>
    </row>
    <row r="58" spans="16:20" x14ac:dyDescent="0.2">
      <c r="P58" s="5"/>
      <c r="Q58" s="5"/>
    </row>
    <row r="59" spans="16:20" x14ac:dyDescent="0.2">
      <c r="P59" s="5"/>
      <c r="Q59" s="5"/>
    </row>
    <row r="60" spans="16:20" x14ac:dyDescent="0.2">
      <c r="P60" s="5"/>
      <c r="Q60" s="5"/>
    </row>
    <row r="61" spans="16:20" x14ac:dyDescent="0.2">
      <c r="P61" s="5"/>
      <c r="Q61" s="5"/>
    </row>
    <row r="62" spans="16:20" x14ac:dyDescent="0.2">
      <c r="P62" s="5"/>
      <c r="Q62" s="5"/>
    </row>
    <row r="63" spans="16:20" x14ac:dyDescent="0.2">
      <c r="P63" s="5"/>
      <c r="Q63" s="5"/>
    </row>
    <row r="64" spans="16:20" x14ac:dyDescent="0.2">
      <c r="P64" s="5"/>
      <c r="Q64" s="5"/>
    </row>
    <row r="65" spans="1:17" x14ac:dyDescent="0.2">
      <c r="P65" s="5"/>
      <c r="Q65" s="5"/>
    </row>
    <row r="66" spans="1:17" x14ac:dyDescent="0.2">
      <c r="P66" s="5"/>
      <c r="Q66" s="5"/>
    </row>
    <row r="67" spans="1:17" x14ac:dyDescent="0.2">
      <c r="P67" s="5"/>
      <c r="Q67" s="5"/>
    </row>
    <row r="68" spans="1:17" x14ac:dyDescent="0.2">
      <c r="P68" s="5"/>
      <c r="Q68" s="5"/>
    </row>
    <row r="69" spans="1:17" x14ac:dyDescent="0.2">
      <c r="A69" s="5"/>
      <c r="B69" s="5"/>
      <c r="C69" s="17"/>
      <c r="D69" s="5"/>
      <c r="E69" s="5"/>
      <c r="F69" s="5"/>
      <c r="G69" s="5"/>
      <c r="H69" s="18"/>
      <c r="I69" s="18"/>
      <c r="J69" s="19"/>
      <c r="K69" s="18"/>
      <c r="L69" s="6"/>
      <c r="M69" s="13"/>
      <c r="P69" s="5"/>
      <c r="Q69" s="5"/>
    </row>
    <row r="70" spans="1:17" x14ac:dyDescent="0.2">
      <c r="A70" s="5"/>
      <c r="B70" s="5"/>
      <c r="C70" s="17"/>
      <c r="D70" s="5"/>
      <c r="E70" s="5"/>
      <c r="F70" s="5"/>
      <c r="G70" s="5"/>
      <c r="H70" s="18"/>
      <c r="I70" s="18"/>
      <c r="J70" s="19"/>
      <c r="K70" s="18"/>
      <c r="L70" s="6"/>
      <c r="M70" s="13"/>
      <c r="N70" s="5"/>
      <c r="O70" s="15"/>
      <c r="P70" s="5"/>
      <c r="Q70" s="5"/>
    </row>
    <row r="71" spans="1:17" x14ac:dyDescent="0.2">
      <c r="A71" s="5"/>
      <c r="B71" s="5"/>
      <c r="C71" s="17"/>
      <c r="D71" s="5"/>
      <c r="E71" s="5"/>
      <c r="F71" s="5"/>
      <c r="G71" s="5"/>
      <c r="H71" s="18"/>
      <c r="I71" s="18"/>
      <c r="J71" s="19"/>
      <c r="K71" s="18"/>
      <c r="L71" s="6"/>
      <c r="M71" s="13"/>
      <c r="N71" s="5"/>
      <c r="O71" s="15"/>
      <c r="P71" s="5"/>
      <c r="Q71" s="5"/>
    </row>
    <row r="72" spans="1:17" x14ac:dyDescent="0.2">
      <c r="A72" s="5"/>
      <c r="B72" s="5"/>
      <c r="C72" s="17"/>
      <c r="D72" s="5"/>
      <c r="E72" s="5"/>
      <c r="F72" s="5"/>
      <c r="G72" s="5"/>
      <c r="H72" s="18"/>
      <c r="I72" s="18"/>
      <c r="J72" s="19"/>
      <c r="K72" s="18"/>
      <c r="L72" s="6"/>
      <c r="M72" s="13"/>
      <c r="N72" s="5"/>
      <c r="O72" s="15"/>
      <c r="P72" s="5"/>
      <c r="Q72" s="5"/>
    </row>
    <row r="73" spans="1:17" x14ac:dyDescent="0.2">
      <c r="A73" s="5"/>
      <c r="B73" s="5"/>
      <c r="C73" s="17"/>
      <c r="D73" s="5"/>
      <c r="E73" s="5"/>
      <c r="F73" s="5"/>
      <c r="G73" s="5"/>
      <c r="H73" s="18"/>
      <c r="I73" s="18"/>
      <c r="J73" s="19"/>
      <c r="K73" s="18"/>
      <c r="L73" s="6"/>
      <c r="M73" s="13"/>
      <c r="N73" s="5"/>
      <c r="O73" s="15"/>
      <c r="P73" s="5"/>
      <c r="Q73" s="5"/>
    </row>
    <row r="74" spans="1:17" x14ac:dyDescent="0.2">
      <c r="A74" s="5"/>
      <c r="B74" s="5"/>
      <c r="C74" s="17"/>
      <c r="D74" s="5"/>
      <c r="E74" s="5"/>
      <c r="F74" s="5"/>
      <c r="G74" s="5"/>
      <c r="H74" s="18"/>
      <c r="I74" s="18"/>
      <c r="J74" s="19"/>
      <c r="K74" s="18"/>
      <c r="L74" s="6"/>
      <c r="M74" s="13"/>
      <c r="N74" s="5"/>
      <c r="O74" s="15"/>
      <c r="P74" s="5"/>
      <c r="Q74" s="5"/>
    </row>
    <row r="75" spans="1:17" x14ac:dyDescent="0.2">
      <c r="A75" s="5"/>
      <c r="B75" s="5"/>
      <c r="C75" s="17"/>
      <c r="D75" s="5" t="s">
        <v>31</v>
      </c>
      <c r="E75" s="5" t="s">
        <v>32</v>
      </c>
      <c r="F75" s="5"/>
      <c r="G75" s="5" t="s">
        <v>33</v>
      </c>
      <c r="H75" s="18"/>
      <c r="I75" s="18"/>
      <c r="J75" s="19"/>
      <c r="K75" s="18"/>
      <c r="L75" s="6"/>
      <c r="M75" s="13"/>
      <c r="N75" s="5"/>
      <c r="O75" s="15"/>
      <c r="P75" s="5"/>
      <c r="Q75" s="5"/>
    </row>
    <row r="76" spans="1:17" x14ac:dyDescent="0.2">
      <c r="A76" s="5"/>
      <c r="B76" s="5"/>
      <c r="C76" s="17"/>
      <c r="D76" s="5">
        <v>196</v>
      </c>
      <c r="E76" s="5">
        <f>10.8+4.5+11</f>
        <v>26.3</v>
      </c>
      <c r="F76" s="5"/>
      <c r="G76" s="5"/>
      <c r="H76" s="18"/>
      <c r="I76" s="18"/>
      <c r="J76" s="19"/>
      <c r="K76" s="18"/>
      <c r="L76" s="6"/>
      <c r="M76" s="13"/>
      <c r="N76" s="5"/>
      <c r="O76" s="15"/>
      <c r="P76" s="5"/>
      <c r="Q76" s="5"/>
    </row>
    <row r="77" spans="1:17" x14ac:dyDescent="0.2">
      <c r="A77" s="5"/>
      <c r="B77" s="5"/>
      <c r="C77" s="17"/>
      <c r="D77" s="5">
        <f>$D$76*E77/$E$76</f>
        <v>11.551330798479087</v>
      </c>
      <c r="E77" s="5">
        <v>1.55</v>
      </c>
      <c r="F77" s="5"/>
      <c r="G77" s="5"/>
      <c r="H77" s="18"/>
      <c r="I77" s="18"/>
      <c r="J77" s="19"/>
      <c r="K77" s="18"/>
      <c r="L77" s="6"/>
      <c r="M77" s="13"/>
      <c r="N77" s="5"/>
      <c r="O77" s="15"/>
      <c r="P77" s="5"/>
      <c r="Q77" s="5"/>
    </row>
    <row r="78" spans="1:17" x14ac:dyDescent="0.2">
      <c r="A78" s="5"/>
      <c r="B78" s="5"/>
      <c r="C78" s="17"/>
      <c r="D78" s="5">
        <f>$D$76*E78/$E$76</f>
        <v>96.882129277566534</v>
      </c>
      <c r="E78" s="5">
        <v>13</v>
      </c>
      <c r="F78" s="5"/>
      <c r="G78" s="5">
        <f>242.907+D78/1000</f>
        <v>243.00388212927757</v>
      </c>
      <c r="H78" s="51">
        <f>G78-$G$78</f>
        <v>0</v>
      </c>
      <c r="I78" s="52">
        <f>H78*1000</f>
        <v>0</v>
      </c>
      <c r="J78" s="19"/>
      <c r="K78" s="18"/>
      <c r="L78" s="6"/>
      <c r="M78" s="13"/>
      <c r="N78" s="5"/>
      <c r="O78" s="15"/>
      <c r="P78" s="5"/>
      <c r="Q78" s="5"/>
    </row>
    <row r="79" spans="1:17" x14ac:dyDescent="0.2">
      <c r="A79" s="5"/>
      <c r="B79" s="5"/>
      <c r="C79" s="17"/>
      <c r="D79" s="5">
        <f>$D$76*E79/$E$76</f>
        <v>85.703422053231932</v>
      </c>
      <c r="E79" s="5">
        <v>11.5</v>
      </c>
      <c r="F79" s="5"/>
      <c r="G79" s="5">
        <f>242.907+D79/1000</f>
        <v>242.99270342205324</v>
      </c>
      <c r="H79" s="51">
        <f>G79-$G$78</f>
        <v>-1.1178707224331674E-2</v>
      </c>
      <c r="I79" s="52">
        <f>H79*1000</f>
        <v>-11.178707224331674</v>
      </c>
      <c r="J79" s="19"/>
      <c r="K79" s="18"/>
      <c r="L79" s="6"/>
      <c r="M79" s="13"/>
      <c r="N79" s="5"/>
      <c r="O79" s="15"/>
      <c r="P79" s="5"/>
      <c r="Q79" s="5"/>
    </row>
    <row r="80" spans="1:17" x14ac:dyDescent="0.2">
      <c r="A80" s="5"/>
      <c r="B80" s="5"/>
      <c r="C80" s="17"/>
      <c r="D80" s="5"/>
      <c r="E80" s="5"/>
      <c r="F80" s="5"/>
      <c r="G80" s="5"/>
      <c r="H80" s="18"/>
      <c r="I80" s="18"/>
      <c r="J80" s="19"/>
      <c r="K80" s="18"/>
      <c r="L80" s="6"/>
      <c r="M80" s="13"/>
      <c r="N80" s="5"/>
      <c r="O80" s="15"/>
      <c r="P80" s="5"/>
      <c r="Q80" s="5"/>
    </row>
    <row r="81" spans="1:17" x14ac:dyDescent="0.2">
      <c r="A81" s="5"/>
      <c r="B81" s="5"/>
      <c r="C81" s="17"/>
      <c r="D81" s="5"/>
      <c r="E81" s="5"/>
      <c r="F81" s="5"/>
      <c r="G81" s="5"/>
      <c r="H81" s="18"/>
      <c r="I81" s="18"/>
      <c r="J81" s="19"/>
      <c r="K81" s="18"/>
      <c r="L81" s="6"/>
      <c r="M81" s="13"/>
      <c r="N81" s="5"/>
      <c r="O81" s="15"/>
      <c r="P81" s="5"/>
      <c r="Q81" s="5"/>
    </row>
    <row r="82" spans="1:17" x14ac:dyDescent="0.2">
      <c r="A82" s="5"/>
      <c r="B82" s="5"/>
      <c r="C82" s="17"/>
      <c r="D82" s="5"/>
      <c r="E82" s="5"/>
      <c r="F82" s="5"/>
      <c r="G82" s="5"/>
      <c r="H82" s="18"/>
      <c r="I82" s="18"/>
      <c r="J82" s="19"/>
      <c r="K82" s="18"/>
      <c r="L82" s="6"/>
      <c r="M82" s="13"/>
      <c r="N82" s="5"/>
      <c r="O82" s="15"/>
      <c r="P82" s="5"/>
      <c r="Q82" s="5"/>
    </row>
    <row r="83" spans="1:17" x14ac:dyDescent="0.2">
      <c r="A83" s="5"/>
      <c r="B83" s="5"/>
      <c r="C83" s="17"/>
      <c r="D83" s="5"/>
      <c r="E83" s="5"/>
      <c r="F83" s="5"/>
      <c r="G83" s="5"/>
      <c r="H83" s="18"/>
      <c r="I83" s="18"/>
      <c r="J83" s="19"/>
      <c r="K83" s="18"/>
      <c r="L83" s="6"/>
      <c r="M83" s="13"/>
      <c r="N83" s="5"/>
      <c r="O83" s="15"/>
      <c r="P83" s="5"/>
      <c r="Q83" s="5"/>
    </row>
    <row r="84" spans="1:17" x14ac:dyDescent="0.2">
      <c r="A84" s="5"/>
      <c r="B84" s="5"/>
      <c r="C84" s="17"/>
      <c r="D84" s="5"/>
      <c r="E84" s="5"/>
      <c r="F84" s="5"/>
      <c r="G84" s="5"/>
      <c r="H84" s="18"/>
      <c r="I84" s="18"/>
      <c r="J84" s="19"/>
      <c r="K84" s="18"/>
      <c r="L84" s="6"/>
      <c r="M84" s="13"/>
      <c r="N84" s="5"/>
      <c r="O84" s="15"/>
      <c r="P84" s="5"/>
      <c r="Q84" s="5"/>
    </row>
    <row r="85" spans="1:17" x14ac:dyDescent="0.2">
      <c r="A85" s="5"/>
      <c r="B85" s="5"/>
      <c r="C85" s="17"/>
      <c r="D85" s="5"/>
      <c r="E85" s="5"/>
      <c r="F85" s="5"/>
      <c r="G85" s="5"/>
      <c r="H85" s="18"/>
      <c r="I85" s="18"/>
      <c r="J85" s="19"/>
      <c r="K85" s="18"/>
      <c r="L85" s="6"/>
      <c r="M85" s="13"/>
      <c r="N85" s="5"/>
      <c r="O85" s="15"/>
      <c r="P85" s="5"/>
      <c r="Q85" s="5"/>
    </row>
    <row r="86" spans="1:17" x14ac:dyDescent="0.2">
      <c r="A86" s="5"/>
      <c r="B86" s="5"/>
      <c r="C86" s="17"/>
      <c r="D86" s="5"/>
      <c r="E86" s="5"/>
      <c r="F86" s="5"/>
      <c r="G86" s="5"/>
      <c r="H86" s="18"/>
      <c r="I86" s="18"/>
      <c r="J86" s="19"/>
      <c r="K86" s="18"/>
      <c r="L86" s="6"/>
      <c r="M86" s="13"/>
      <c r="N86" s="5"/>
      <c r="O86" s="15"/>
      <c r="P86" s="5"/>
      <c r="Q86" s="5"/>
    </row>
    <row r="87" spans="1:17" x14ac:dyDescent="0.2">
      <c r="A87" s="5"/>
      <c r="B87" s="5"/>
      <c r="C87" s="17"/>
      <c r="D87" s="5"/>
      <c r="E87" s="5"/>
      <c r="F87" s="5"/>
      <c r="G87" s="5"/>
      <c r="H87" s="18"/>
      <c r="I87" s="18"/>
      <c r="J87" s="19"/>
      <c r="K87" s="18"/>
      <c r="L87" s="6"/>
      <c r="M87" s="13"/>
      <c r="N87" s="5"/>
      <c r="O87" s="15"/>
      <c r="P87" s="5"/>
      <c r="Q87" s="5"/>
    </row>
    <row r="88" spans="1:17" x14ac:dyDescent="0.2">
      <c r="A88" s="5"/>
      <c r="B88" s="5"/>
      <c r="C88" s="17"/>
      <c r="D88" s="5"/>
      <c r="E88" s="5"/>
      <c r="F88" s="5"/>
      <c r="G88" s="5"/>
      <c r="H88" s="18"/>
      <c r="I88" s="18"/>
      <c r="J88" s="19"/>
      <c r="K88" s="18"/>
      <c r="L88" s="6"/>
      <c r="M88" s="13"/>
      <c r="N88" s="5"/>
      <c r="O88" s="15"/>
      <c r="P88" s="5"/>
      <c r="Q88" s="5"/>
    </row>
    <row r="89" spans="1:17" x14ac:dyDescent="0.2">
      <c r="A89" s="5"/>
      <c r="B89" s="5"/>
      <c r="C89" s="17"/>
      <c r="D89" s="5"/>
      <c r="E89" s="5"/>
      <c r="F89" s="5"/>
      <c r="G89" s="5"/>
      <c r="H89" s="18"/>
      <c r="I89" s="18"/>
      <c r="J89" s="19"/>
      <c r="K89" s="18"/>
      <c r="L89" s="6"/>
      <c r="M89" s="13"/>
      <c r="N89" s="5"/>
      <c r="O89" s="15"/>
      <c r="P89" s="5"/>
      <c r="Q89" s="5"/>
    </row>
    <row r="90" spans="1:17" x14ac:dyDescent="0.2">
      <c r="A90" s="5"/>
      <c r="B90" s="5"/>
      <c r="C90" s="17"/>
      <c r="D90" s="5"/>
      <c r="E90" s="5"/>
      <c r="F90" s="5"/>
      <c r="G90" s="5"/>
      <c r="H90" s="18"/>
      <c r="I90" s="18"/>
      <c r="J90" s="19"/>
      <c r="K90" s="18"/>
      <c r="L90" s="6"/>
      <c r="M90" s="13"/>
      <c r="N90" s="5"/>
      <c r="O90" s="15"/>
      <c r="P90" s="5"/>
      <c r="Q90" s="5"/>
    </row>
    <row r="91" spans="1:17" x14ac:dyDescent="0.2">
      <c r="A91" s="5"/>
      <c r="B91" s="5"/>
      <c r="C91" s="17"/>
      <c r="D91" s="5"/>
      <c r="E91" s="5"/>
      <c r="F91" s="5"/>
      <c r="G91" s="5"/>
      <c r="H91" s="18"/>
      <c r="I91" s="18"/>
      <c r="J91" s="19"/>
      <c r="K91" s="18"/>
      <c r="L91" s="6"/>
      <c r="M91" s="13"/>
      <c r="N91" s="5"/>
      <c r="O91" s="15"/>
      <c r="P91" s="5"/>
      <c r="Q91" s="5"/>
    </row>
    <row r="92" spans="1:17" x14ac:dyDescent="0.2">
      <c r="A92" s="5"/>
      <c r="B92" s="5"/>
      <c r="C92" s="17"/>
      <c r="D92" s="5"/>
      <c r="E92" s="5"/>
      <c r="F92" s="5"/>
      <c r="G92" s="5"/>
      <c r="H92" s="18"/>
      <c r="I92" s="18"/>
      <c r="J92" s="19"/>
      <c r="K92" s="18"/>
      <c r="L92" s="6"/>
      <c r="M92" s="13"/>
      <c r="N92" s="5"/>
      <c r="O92" s="15"/>
      <c r="P92" s="5"/>
      <c r="Q92" s="5"/>
    </row>
    <row r="93" spans="1:17" x14ac:dyDescent="0.2">
      <c r="A93" s="5"/>
      <c r="B93" s="5"/>
      <c r="C93" s="17"/>
      <c r="D93" s="5"/>
      <c r="E93" s="5"/>
      <c r="F93" s="5"/>
      <c r="G93" s="5"/>
      <c r="H93" s="18"/>
      <c r="I93" s="18"/>
      <c r="J93" s="19"/>
      <c r="K93" s="18"/>
      <c r="L93" s="6"/>
      <c r="M93" s="13"/>
      <c r="N93" s="5"/>
      <c r="O93" s="15"/>
      <c r="P93" s="5"/>
      <c r="Q93" s="5"/>
    </row>
    <row r="94" spans="1:17" x14ac:dyDescent="0.2">
      <c r="A94" s="5"/>
      <c r="B94" s="5"/>
      <c r="C94" s="17"/>
      <c r="D94" s="5"/>
      <c r="E94" s="5"/>
      <c r="F94" s="5"/>
      <c r="G94" s="5"/>
      <c r="H94" s="18"/>
      <c r="I94" s="18"/>
      <c r="J94" s="19"/>
      <c r="K94" s="18"/>
      <c r="L94" s="6"/>
      <c r="M94" s="13"/>
      <c r="N94" s="5"/>
      <c r="O94" s="15"/>
      <c r="P94" s="5"/>
      <c r="Q94" s="5"/>
    </row>
    <row r="95" spans="1:17" x14ac:dyDescent="0.2">
      <c r="A95" s="5"/>
      <c r="B95" s="5"/>
      <c r="C95" s="17"/>
      <c r="D95" s="5"/>
      <c r="E95" s="5"/>
      <c r="F95" s="5"/>
      <c r="G95" s="5"/>
      <c r="H95" s="18"/>
      <c r="I95" s="18"/>
      <c r="J95" s="19"/>
      <c r="K95" s="18"/>
      <c r="L95" s="6"/>
      <c r="M95" s="13"/>
      <c r="N95" s="5"/>
      <c r="O95" s="15"/>
      <c r="P95" s="5"/>
      <c r="Q95" s="5"/>
    </row>
    <row r="96" spans="1:17" x14ac:dyDescent="0.2">
      <c r="A96" s="5"/>
      <c r="B96" s="5"/>
      <c r="C96" s="17"/>
      <c r="D96" s="5"/>
      <c r="E96" s="5"/>
      <c r="F96" s="5"/>
      <c r="G96" s="5"/>
      <c r="H96" s="18"/>
      <c r="I96" s="18"/>
      <c r="J96" s="19"/>
      <c r="K96" s="18"/>
      <c r="L96" s="6"/>
      <c r="M96" s="13"/>
      <c r="N96" s="5"/>
      <c r="O96" s="15"/>
      <c r="P96" s="5"/>
      <c r="Q96" s="5"/>
    </row>
    <row r="97" spans="1:17" x14ac:dyDescent="0.2">
      <c r="A97" s="5"/>
      <c r="B97" s="5"/>
      <c r="C97" s="17"/>
      <c r="D97" s="5"/>
      <c r="E97" s="5"/>
      <c r="F97" s="5"/>
      <c r="G97" s="5"/>
      <c r="H97" s="18"/>
      <c r="I97" s="18"/>
      <c r="J97" s="19"/>
      <c r="K97" s="18"/>
      <c r="L97" s="6"/>
      <c r="M97" s="13"/>
      <c r="N97" s="5"/>
      <c r="O97" s="15"/>
      <c r="P97" s="5"/>
      <c r="Q97" s="5"/>
    </row>
    <row r="98" spans="1:17" x14ac:dyDescent="0.2">
      <c r="A98" s="5"/>
      <c r="B98" s="5"/>
      <c r="C98" s="17"/>
      <c r="D98" s="5"/>
      <c r="E98" s="5"/>
      <c r="F98" s="5"/>
      <c r="G98" s="5"/>
      <c r="H98" s="18"/>
      <c r="I98" s="18"/>
      <c r="J98" s="19"/>
      <c r="K98" s="18"/>
      <c r="L98" s="6"/>
      <c r="M98" s="13"/>
      <c r="N98" s="5"/>
      <c r="O98" s="15"/>
      <c r="P98" s="5"/>
      <c r="Q98" s="5"/>
    </row>
    <row r="99" spans="1:17" x14ac:dyDescent="0.2">
      <c r="A99" s="5"/>
      <c r="B99" s="5"/>
      <c r="C99" s="17"/>
      <c r="D99" s="5"/>
      <c r="E99" s="5"/>
      <c r="F99" s="5"/>
      <c r="G99" s="5"/>
      <c r="H99" s="18"/>
      <c r="I99" s="18"/>
      <c r="J99" s="19"/>
      <c r="K99" s="18"/>
      <c r="L99" s="6"/>
      <c r="M99" s="13"/>
      <c r="N99" s="5"/>
      <c r="O99" s="15"/>
      <c r="P99" s="5"/>
      <c r="Q99" s="5"/>
    </row>
    <row r="100" spans="1:17" x14ac:dyDescent="0.2">
      <c r="A100" s="5"/>
      <c r="B100" s="5"/>
      <c r="C100" s="17"/>
      <c r="D100" s="5"/>
      <c r="E100" s="5"/>
      <c r="F100" s="5"/>
      <c r="G100" s="5"/>
      <c r="H100" s="18"/>
      <c r="I100" s="18"/>
      <c r="J100" s="19"/>
      <c r="K100" s="18"/>
      <c r="L100" s="6"/>
      <c r="M100" s="13"/>
      <c r="N100" s="5"/>
      <c r="O100" s="15"/>
      <c r="P100" s="5"/>
      <c r="Q100" s="5"/>
    </row>
    <row r="101" spans="1:17" x14ac:dyDescent="0.2">
      <c r="A101" s="5"/>
      <c r="B101" s="5"/>
      <c r="C101" s="17"/>
      <c r="D101" s="5"/>
      <c r="E101" s="5"/>
      <c r="F101" s="5"/>
      <c r="G101" s="5"/>
      <c r="H101" s="18"/>
      <c r="I101" s="18"/>
      <c r="J101" s="19"/>
      <c r="K101" s="18"/>
      <c r="L101" s="6"/>
      <c r="M101" s="13"/>
      <c r="N101" s="5"/>
      <c r="O101" s="15"/>
      <c r="P101" s="5"/>
      <c r="Q101" s="5"/>
    </row>
    <row r="102" spans="1:17" x14ac:dyDescent="0.2">
      <c r="A102" s="5"/>
      <c r="B102" s="5"/>
      <c r="C102" s="17"/>
      <c r="D102" s="5"/>
      <c r="E102" s="5"/>
      <c r="F102" s="5"/>
      <c r="G102" s="5"/>
      <c r="H102" s="18"/>
      <c r="I102" s="18"/>
      <c r="J102" s="19"/>
      <c r="K102" s="18"/>
      <c r="L102" s="6"/>
      <c r="M102" s="13"/>
      <c r="N102" s="5"/>
      <c r="O102" s="15"/>
      <c r="P102" s="5"/>
      <c r="Q102" s="5"/>
    </row>
    <row r="103" spans="1:17" x14ac:dyDescent="0.2">
      <c r="A103" s="5"/>
      <c r="B103" s="5"/>
      <c r="C103" s="17"/>
      <c r="D103" s="5"/>
      <c r="E103" s="5"/>
      <c r="F103" s="5"/>
      <c r="G103" s="5"/>
      <c r="H103" s="18"/>
      <c r="I103" s="18"/>
      <c r="J103" s="19"/>
      <c r="K103" s="18"/>
      <c r="L103" s="6"/>
      <c r="M103" s="13"/>
      <c r="N103" s="5"/>
      <c r="O103" s="15"/>
      <c r="P103" s="5"/>
      <c r="Q103" s="5"/>
    </row>
    <row r="104" spans="1:17" x14ac:dyDescent="0.2">
      <c r="A104" s="5"/>
      <c r="B104" s="5"/>
      <c r="C104" s="17"/>
      <c r="D104" s="5"/>
      <c r="E104" s="5"/>
      <c r="F104" s="5"/>
      <c r="G104" s="5"/>
      <c r="H104" s="18"/>
      <c r="I104" s="18"/>
      <c r="J104" s="19"/>
      <c r="K104" s="18"/>
      <c r="L104" s="6"/>
      <c r="M104" s="13"/>
      <c r="N104" s="5"/>
      <c r="O104" s="15"/>
      <c r="P104" s="5"/>
      <c r="Q104" s="5"/>
    </row>
    <row r="105" spans="1:17" x14ac:dyDescent="0.2">
      <c r="A105" s="5"/>
      <c r="B105" s="5"/>
      <c r="C105" s="17"/>
      <c r="D105" s="5"/>
      <c r="E105" s="5"/>
      <c r="F105" s="5"/>
      <c r="G105" s="5"/>
      <c r="H105" s="18"/>
      <c r="I105" s="18"/>
      <c r="J105" s="19"/>
      <c r="K105" s="18"/>
      <c r="L105" s="6"/>
      <c r="M105" s="13"/>
      <c r="N105" s="5"/>
      <c r="O105" s="15"/>
      <c r="P105" s="5"/>
      <c r="Q105" s="5"/>
    </row>
    <row r="106" spans="1:17" x14ac:dyDescent="0.2">
      <c r="A106" s="5"/>
      <c r="B106" s="5"/>
      <c r="C106" s="17"/>
      <c r="D106" s="5"/>
      <c r="E106" s="5"/>
      <c r="F106" s="5"/>
      <c r="G106" s="5"/>
      <c r="H106" s="18"/>
      <c r="I106" s="18"/>
      <c r="J106" s="19"/>
      <c r="K106" s="18"/>
      <c r="L106" s="6"/>
      <c r="M106" s="13"/>
      <c r="N106" s="5"/>
      <c r="O106" s="15"/>
      <c r="P106" s="5"/>
      <c r="Q106" s="5"/>
    </row>
    <row r="107" spans="1:17" x14ac:dyDescent="0.2">
      <c r="A107" s="5"/>
      <c r="B107" s="5"/>
      <c r="C107" s="17"/>
      <c r="D107" s="5"/>
      <c r="E107" s="5"/>
      <c r="F107" s="5"/>
      <c r="G107" s="5"/>
      <c r="H107" s="18"/>
      <c r="I107" s="18"/>
      <c r="J107" s="19"/>
      <c r="K107" s="18"/>
      <c r="L107" s="6"/>
      <c r="M107" s="13"/>
      <c r="N107" s="5"/>
      <c r="O107" s="15"/>
      <c r="P107" s="5"/>
      <c r="Q107" s="5"/>
    </row>
    <row r="108" spans="1:17" x14ac:dyDescent="0.2">
      <c r="A108" s="5"/>
      <c r="B108" s="5"/>
      <c r="C108" s="17"/>
      <c r="D108" s="5"/>
      <c r="E108" s="5"/>
      <c r="F108" s="5"/>
      <c r="G108" s="5"/>
      <c r="H108" s="18"/>
      <c r="I108" s="18"/>
      <c r="J108" s="19"/>
      <c r="K108" s="18"/>
      <c r="L108" s="6"/>
      <c r="M108" s="13"/>
      <c r="N108" s="5"/>
      <c r="O108" s="15"/>
      <c r="P108" s="5"/>
      <c r="Q108" s="5"/>
    </row>
    <row r="109" spans="1:17" x14ac:dyDescent="0.2">
      <c r="A109" s="5"/>
      <c r="B109" s="5"/>
      <c r="C109" s="17"/>
      <c r="D109" s="5"/>
      <c r="E109" s="5"/>
      <c r="F109" s="5"/>
      <c r="G109" s="5"/>
      <c r="H109" s="18"/>
      <c r="I109" s="18"/>
      <c r="J109" s="19"/>
      <c r="K109" s="18"/>
      <c r="L109" s="6"/>
      <c r="M109" s="13"/>
      <c r="N109" s="5"/>
      <c r="O109" s="15"/>
      <c r="P109" s="5"/>
      <c r="Q109" s="5"/>
    </row>
    <row r="110" spans="1:17" x14ac:dyDescent="0.2">
      <c r="A110" s="5"/>
      <c r="B110" s="5"/>
      <c r="C110" s="17"/>
      <c r="D110" s="5"/>
      <c r="E110" s="5"/>
      <c r="F110" s="5"/>
      <c r="G110" s="5"/>
      <c r="H110" s="18"/>
      <c r="I110" s="18"/>
      <c r="J110" s="19"/>
      <c r="K110" s="18"/>
      <c r="L110" s="6"/>
      <c r="M110" s="13"/>
      <c r="N110" s="5"/>
      <c r="O110" s="15"/>
      <c r="P110" s="5"/>
      <c r="Q110" s="5"/>
    </row>
    <row r="111" spans="1:17" x14ac:dyDescent="0.2">
      <c r="A111" s="5"/>
      <c r="B111" s="5"/>
      <c r="C111" s="17"/>
      <c r="D111" s="5"/>
      <c r="E111" s="5"/>
      <c r="F111" s="5"/>
      <c r="G111" s="5"/>
      <c r="H111" s="18"/>
      <c r="I111" s="18"/>
      <c r="J111" s="19"/>
      <c r="K111" s="18"/>
      <c r="L111" s="6"/>
      <c r="M111" s="13"/>
      <c r="N111" s="5"/>
      <c r="O111" s="15"/>
      <c r="P111" s="5"/>
      <c r="Q111" s="5"/>
    </row>
    <row r="112" spans="1:17" x14ac:dyDescent="0.2">
      <c r="A112" s="5"/>
      <c r="B112" s="5"/>
      <c r="C112" s="17"/>
      <c r="D112" s="5"/>
      <c r="E112" s="5"/>
      <c r="F112" s="5"/>
      <c r="G112" s="5"/>
      <c r="H112" s="18"/>
      <c r="I112" s="18"/>
      <c r="J112" s="19"/>
      <c r="K112" s="18"/>
      <c r="L112" s="6"/>
      <c r="M112" s="13"/>
      <c r="N112" s="5"/>
      <c r="O112" s="15"/>
      <c r="P112" s="5"/>
      <c r="Q112" s="5"/>
    </row>
    <row r="113" spans="1:17" x14ac:dyDescent="0.2">
      <c r="A113" s="5"/>
      <c r="B113" s="5"/>
      <c r="C113" s="17"/>
      <c r="D113" s="5"/>
      <c r="E113" s="5"/>
      <c r="F113" s="5"/>
      <c r="G113" s="5"/>
      <c r="H113" s="18"/>
      <c r="I113" s="18"/>
      <c r="J113" s="19"/>
      <c r="K113" s="18"/>
      <c r="L113" s="6"/>
      <c r="M113" s="13"/>
      <c r="N113" s="5"/>
      <c r="O113" s="15"/>
      <c r="P113" s="5"/>
      <c r="Q113" s="5"/>
    </row>
    <row r="114" spans="1:17" x14ac:dyDescent="0.2">
      <c r="A114" s="5"/>
      <c r="B114" s="5"/>
      <c r="C114" s="17"/>
      <c r="D114" s="5"/>
      <c r="E114" s="5"/>
      <c r="F114" s="5"/>
      <c r="G114" s="5"/>
      <c r="H114" s="18"/>
      <c r="I114" s="18"/>
      <c r="J114" s="19"/>
      <c r="K114" s="18"/>
      <c r="L114" s="6"/>
      <c r="M114" s="13"/>
      <c r="N114" s="5"/>
      <c r="O114" s="15"/>
      <c r="P114" s="5"/>
      <c r="Q114" s="5"/>
    </row>
    <row r="115" spans="1:17" x14ac:dyDescent="0.2">
      <c r="A115" s="5"/>
      <c r="B115" s="5"/>
      <c r="C115" s="17"/>
      <c r="D115" s="5"/>
      <c r="E115" s="5"/>
      <c r="F115" s="5"/>
      <c r="G115" s="5"/>
      <c r="H115" s="18"/>
      <c r="I115" s="18"/>
      <c r="J115" s="19"/>
      <c r="K115" s="18"/>
      <c r="L115" s="6"/>
      <c r="M115" s="13"/>
      <c r="N115" s="5"/>
      <c r="O115" s="15"/>
      <c r="P115" s="5"/>
      <c r="Q115" s="5"/>
    </row>
    <row r="116" spans="1:17" x14ac:dyDescent="0.2">
      <c r="A116" s="5"/>
      <c r="B116" s="5"/>
      <c r="C116" s="17"/>
      <c r="D116" s="5"/>
      <c r="E116" s="5"/>
      <c r="F116" s="5"/>
      <c r="G116" s="5"/>
      <c r="H116" s="18"/>
      <c r="I116" s="18"/>
      <c r="J116" s="19"/>
      <c r="K116" s="18"/>
      <c r="L116" s="6"/>
      <c r="M116" s="13"/>
      <c r="N116" s="5"/>
      <c r="O116" s="15"/>
      <c r="P116" s="5"/>
      <c r="Q116" s="5"/>
    </row>
    <row r="117" spans="1:17" x14ac:dyDescent="0.2">
      <c r="A117" s="5"/>
      <c r="B117" s="5"/>
      <c r="C117" s="17"/>
      <c r="D117" s="5"/>
      <c r="E117" s="5"/>
      <c r="F117" s="5"/>
      <c r="G117" s="5"/>
      <c r="H117" s="18"/>
      <c r="I117" s="18"/>
      <c r="J117" s="19"/>
      <c r="K117" s="18"/>
      <c r="L117" s="6"/>
      <c r="M117" s="13"/>
      <c r="N117" s="5"/>
      <c r="O117" s="15"/>
      <c r="P117" s="5"/>
      <c r="Q117" s="5"/>
    </row>
    <row r="118" spans="1:17" x14ac:dyDescent="0.2">
      <c r="A118" s="5"/>
      <c r="B118" s="5"/>
      <c r="C118" s="17"/>
      <c r="D118" s="5"/>
      <c r="E118" s="5"/>
      <c r="F118" s="5"/>
      <c r="G118" s="5"/>
      <c r="H118" s="18"/>
      <c r="I118" s="18"/>
      <c r="J118" s="19"/>
      <c r="K118" s="18"/>
      <c r="L118" s="6"/>
      <c r="M118" s="13"/>
      <c r="N118" s="5"/>
      <c r="O118" s="15"/>
      <c r="P118" s="5"/>
      <c r="Q118" s="5"/>
    </row>
    <row r="119" spans="1:17" x14ac:dyDescent="0.2">
      <c r="A119" s="5"/>
      <c r="B119" s="5"/>
      <c r="C119" s="17"/>
      <c r="D119" s="5"/>
      <c r="E119" s="5"/>
      <c r="F119" s="5"/>
      <c r="G119" s="5"/>
      <c r="H119" s="18"/>
      <c r="I119" s="18"/>
      <c r="J119" s="19"/>
      <c r="K119" s="18"/>
      <c r="L119" s="6"/>
      <c r="M119" s="13"/>
      <c r="N119" s="5"/>
      <c r="O119" s="15"/>
      <c r="P119" s="5"/>
      <c r="Q119" s="5"/>
    </row>
    <row r="120" spans="1:17" x14ac:dyDescent="0.2">
      <c r="A120" s="5"/>
      <c r="B120" s="5"/>
      <c r="C120" s="17"/>
      <c r="D120" s="5"/>
      <c r="E120" s="5"/>
      <c r="F120" s="5"/>
      <c r="G120" s="5"/>
      <c r="H120" s="18"/>
      <c r="I120" s="18"/>
      <c r="J120" s="19"/>
      <c r="K120" s="18"/>
      <c r="L120" s="6"/>
      <c r="M120" s="13"/>
      <c r="N120" s="5"/>
      <c r="O120" s="15"/>
      <c r="P120" s="5"/>
      <c r="Q120" s="5"/>
    </row>
    <row r="121" spans="1:17" x14ac:dyDescent="0.2">
      <c r="A121" s="5"/>
      <c r="B121" s="5"/>
      <c r="C121" s="17"/>
      <c r="D121" s="5"/>
      <c r="E121" s="5"/>
      <c r="F121" s="5"/>
      <c r="G121" s="5"/>
      <c r="H121" s="18"/>
      <c r="I121" s="18"/>
      <c r="J121" s="19"/>
      <c r="K121" s="18"/>
      <c r="L121" s="6"/>
      <c r="M121" s="13"/>
      <c r="N121" s="5"/>
      <c r="O121" s="15"/>
      <c r="P121" s="5"/>
      <c r="Q121" s="5"/>
    </row>
    <row r="122" spans="1:17" x14ac:dyDescent="0.2">
      <c r="A122" s="5"/>
      <c r="B122" s="5"/>
      <c r="C122" s="17"/>
      <c r="D122" s="5"/>
      <c r="E122" s="5"/>
      <c r="F122" s="5"/>
      <c r="G122" s="5"/>
      <c r="H122" s="18"/>
      <c r="I122" s="18"/>
      <c r="J122" s="19"/>
      <c r="K122" s="18"/>
      <c r="L122" s="6"/>
      <c r="M122" s="13"/>
      <c r="N122" s="5"/>
      <c r="O122" s="15"/>
      <c r="P122" s="5"/>
      <c r="Q122" s="5"/>
    </row>
    <row r="123" spans="1:17" x14ac:dyDescent="0.2">
      <c r="A123" s="5"/>
      <c r="B123" s="5"/>
      <c r="C123" s="17"/>
      <c r="D123" s="5"/>
      <c r="E123" s="5"/>
      <c r="F123" s="5"/>
      <c r="G123" s="5"/>
      <c r="H123" s="18"/>
      <c r="I123" s="18"/>
      <c r="J123" s="19"/>
      <c r="K123" s="18"/>
      <c r="L123" s="6"/>
      <c r="M123" s="13"/>
      <c r="N123" s="5"/>
      <c r="O123" s="15"/>
      <c r="P123" s="5"/>
      <c r="Q123" s="5"/>
    </row>
    <row r="124" spans="1:17" x14ac:dyDescent="0.2">
      <c r="A124" s="5"/>
      <c r="B124" s="5"/>
      <c r="C124" s="17"/>
      <c r="D124" s="5"/>
      <c r="E124" s="5"/>
      <c r="F124" s="5"/>
      <c r="G124" s="5"/>
      <c r="H124" s="18"/>
      <c r="I124" s="18"/>
      <c r="J124" s="19"/>
      <c r="K124" s="18"/>
      <c r="L124" s="6"/>
      <c r="M124" s="13"/>
      <c r="N124" s="5"/>
      <c r="O124" s="15"/>
      <c r="P124" s="5"/>
      <c r="Q124" s="5"/>
    </row>
    <row r="125" spans="1:17" x14ac:dyDescent="0.2">
      <c r="C125" s="2"/>
      <c r="H125" s="1"/>
      <c r="I125" s="1"/>
      <c r="J125" s="1"/>
      <c r="K125" s="1"/>
      <c r="L125" s="8"/>
      <c r="M125" s="13"/>
      <c r="N125" s="5"/>
      <c r="O125" s="14"/>
      <c r="P125" s="5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zoomScale="110" zoomScaleNormal="110" workbookViewId="0">
      <selection activeCell="Q13" sqref="Q13"/>
    </sheetView>
  </sheetViews>
  <sheetFormatPr defaultRowHeight="12.75" x14ac:dyDescent="0.2"/>
  <cols>
    <col min="7" max="7" width="10.28515625" customWidth="1"/>
    <col min="9" max="9" width="9.5703125" bestFit="1" customWidth="1"/>
    <col min="15" max="15" width="10.85546875" customWidth="1"/>
    <col min="16" max="16" width="10.5703125" bestFit="1" customWidth="1"/>
    <col min="18" max="18" width="10" bestFit="1" customWidth="1"/>
    <col min="20" max="20" width="9.5703125" bestFit="1" customWidth="1"/>
    <col min="22" max="22" width="11.42578125" bestFit="1" customWidth="1"/>
  </cols>
  <sheetData>
    <row r="1" spans="2:26" x14ac:dyDescent="0.2">
      <c r="B1" s="22" t="s">
        <v>55</v>
      </c>
      <c r="C1" s="22"/>
      <c r="J1" s="5"/>
      <c r="K1" s="5"/>
      <c r="L1" s="6"/>
      <c r="M1" s="5"/>
      <c r="N1" s="5"/>
      <c r="O1" s="5"/>
    </row>
    <row r="2" spans="2:26" x14ac:dyDescent="0.2">
      <c r="B2" s="85" t="s">
        <v>53</v>
      </c>
      <c r="C2" s="84"/>
      <c r="D2" s="84"/>
      <c r="E2" s="84"/>
      <c r="F2" s="21"/>
      <c r="G2" s="21"/>
      <c r="H2" s="21"/>
      <c r="J2" s="5"/>
      <c r="K2" s="5"/>
      <c r="L2" s="6"/>
      <c r="M2" s="5"/>
      <c r="N2" s="7"/>
      <c r="O2" s="6"/>
    </row>
    <row r="3" spans="2:26" x14ac:dyDescent="0.2">
      <c r="B3" s="23" t="s">
        <v>65</v>
      </c>
      <c r="D3" s="20"/>
      <c r="E3" s="20"/>
      <c r="F3" s="20"/>
      <c r="G3" s="20"/>
      <c r="H3" s="20"/>
      <c r="K3" s="5"/>
      <c r="L3" s="5"/>
      <c r="M3" s="5"/>
      <c r="N3" s="5"/>
      <c r="O3" s="44"/>
      <c r="P3" s="6"/>
      <c r="Q3" s="5"/>
      <c r="R3" s="5"/>
      <c r="S3" s="5"/>
      <c r="T3" s="5"/>
    </row>
    <row r="4" spans="2:26" x14ac:dyDescent="0.2">
      <c r="B4" t="s">
        <v>4</v>
      </c>
      <c r="K4" s="29"/>
      <c r="M4" s="5"/>
      <c r="N4" s="5"/>
      <c r="O4" s="39"/>
      <c r="P4" s="45"/>
      <c r="Q4" s="39"/>
      <c r="R4" s="39"/>
      <c r="S4" s="39"/>
      <c r="T4" s="5"/>
      <c r="V4" s="2"/>
      <c r="W4" s="2"/>
      <c r="X4" s="2"/>
      <c r="Z4" s="2"/>
    </row>
    <row r="5" spans="2:26" x14ac:dyDescent="0.2">
      <c r="B5" s="23" t="s">
        <v>54</v>
      </c>
      <c r="I5" s="9" t="s">
        <v>34</v>
      </c>
      <c r="J5" s="71">
        <v>1.3955</v>
      </c>
      <c r="K5" s="29" t="s">
        <v>62</v>
      </c>
      <c r="N5" s="61"/>
      <c r="O5" s="54"/>
      <c r="P5" s="62"/>
      <c r="Q5" s="54"/>
      <c r="R5" s="54"/>
      <c r="S5" s="54"/>
      <c r="T5" s="5"/>
      <c r="U5" s="2"/>
    </row>
    <row r="6" spans="2:26" x14ac:dyDescent="0.2">
      <c r="I6" s="24" t="s">
        <v>25</v>
      </c>
      <c r="J6" s="54">
        <f>1/J5^2</f>
        <v>0.51349984678448324</v>
      </c>
      <c r="K6" s="8"/>
      <c r="N6" s="61"/>
      <c r="O6" s="54"/>
      <c r="P6" s="54"/>
      <c r="Q6" s="54"/>
      <c r="R6" s="54"/>
      <c r="S6" s="54"/>
      <c r="T6" s="54"/>
      <c r="U6" s="2"/>
    </row>
    <row r="7" spans="2:26" x14ac:dyDescent="0.2">
      <c r="I7" s="24" t="s">
        <v>16</v>
      </c>
      <c r="J7" s="72">
        <v>108.38</v>
      </c>
      <c r="K7" s="23" t="s">
        <v>3</v>
      </c>
      <c r="N7" s="7"/>
      <c r="O7" s="54"/>
      <c r="P7" s="54"/>
      <c r="Q7" s="54"/>
      <c r="R7" s="54"/>
      <c r="S7" s="54"/>
      <c r="T7" s="54"/>
      <c r="U7" s="2"/>
    </row>
    <row r="8" spans="2:26" x14ac:dyDescent="0.2">
      <c r="B8" s="16"/>
      <c r="C8" s="5"/>
      <c r="I8" s="9" t="s">
        <v>30</v>
      </c>
      <c r="J8" s="72">
        <v>211</v>
      </c>
      <c r="N8" s="47"/>
      <c r="O8" s="54"/>
      <c r="P8" s="54"/>
      <c r="Q8" s="54"/>
      <c r="R8" s="54"/>
      <c r="S8" s="54"/>
      <c r="T8" s="54"/>
    </row>
    <row r="9" spans="2:26" x14ac:dyDescent="0.2">
      <c r="B9" s="16"/>
      <c r="C9" s="16"/>
      <c r="D9" s="16"/>
      <c r="E9" s="16"/>
      <c r="F9" s="16"/>
      <c r="G9" s="16"/>
      <c r="H9" s="16"/>
      <c r="I9" s="9" t="s">
        <v>5</v>
      </c>
      <c r="J9" s="5">
        <f>(J5-1)*931.494065</f>
        <v>368.40590270749993</v>
      </c>
      <c r="K9" s="8" t="s">
        <v>6</v>
      </c>
      <c r="L9" s="5"/>
      <c r="N9" s="5"/>
      <c r="O9" s="5"/>
      <c r="P9" s="5"/>
      <c r="Q9" s="5"/>
      <c r="R9" s="5"/>
      <c r="S9" s="5"/>
      <c r="T9" s="5"/>
    </row>
    <row r="10" spans="2:26" x14ac:dyDescent="0.2">
      <c r="B10" s="37"/>
      <c r="C10" s="53"/>
      <c r="D10" s="53"/>
      <c r="E10" s="53"/>
      <c r="F10" s="53"/>
      <c r="G10" s="16"/>
      <c r="H10" s="16"/>
      <c r="I10" s="9" t="s">
        <v>7</v>
      </c>
      <c r="J10" s="6">
        <f>1+J9/931.494065</f>
        <v>1.3955</v>
      </c>
      <c r="K10" s="8"/>
    </row>
    <row r="11" spans="2:26" x14ac:dyDescent="0.2">
      <c r="B11" s="35"/>
      <c r="C11" s="35"/>
      <c r="D11" s="16"/>
      <c r="E11" s="16"/>
      <c r="F11" s="48"/>
      <c r="G11" s="16"/>
      <c r="H11" s="16"/>
      <c r="I11" s="24" t="s">
        <v>41</v>
      </c>
      <c r="J11">
        <f>SQRT(1-1/J10^2)</f>
        <v>0.69749562953148081</v>
      </c>
      <c r="N11" s="3"/>
      <c r="V11" s="23"/>
    </row>
    <row r="12" spans="2:26" x14ac:dyDescent="0.2">
      <c r="B12" s="37"/>
      <c r="C12" s="35"/>
      <c r="D12" s="16"/>
      <c r="E12" s="16"/>
      <c r="F12" s="48"/>
      <c r="G12" s="16"/>
      <c r="H12" s="16"/>
      <c r="I12" s="9" t="s">
        <v>13</v>
      </c>
      <c r="J12" s="28">
        <v>299792458</v>
      </c>
      <c r="K12" s="8" t="s">
        <v>9</v>
      </c>
    </row>
    <row r="13" spans="2:26" x14ac:dyDescent="0.2">
      <c r="B13" s="37"/>
      <c r="C13" s="35"/>
      <c r="D13" s="16"/>
      <c r="E13" s="16"/>
      <c r="F13" s="48"/>
      <c r="G13" s="16"/>
      <c r="H13" s="16"/>
      <c r="I13" s="9" t="s">
        <v>8</v>
      </c>
      <c r="J13">
        <f>SQRT(1-1/J10^2)*J12</f>
        <v>209103929.22150001</v>
      </c>
      <c r="K13" s="8" t="s">
        <v>9</v>
      </c>
      <c r="M13" s="5"/>
      <c r="N13" s="49"/>
    </row>
    <row r="14" spans="2:26" x14ac:dyDescent="0.2">
      <c r="C14" s="35"/>
      <c r="G14" s="16"/>
      <c r="H14" s="16"/>
      <c r="I14" s="24" t="s">
        <v>61</v>
      </c>
      <c r="J14" s="71">
        <v>1.9976</v>
      </c>
      <c r="M14" s="23" t="s">
        <v>49</v>
      </c>
      <c r="N14" s="3"/>
    </row>
    <row r="15" spans="2:26" x14ac:dyDescent="0.2">
      <c r="G15" s="16"/>
      <c r="H15" s="16"/>
      <c r="I15" s="24" t="s">
        <v>24</v>
      </c>
      <c r="J15" s="28">
        <v>3.1071294865388026</v>
      </c>
      <c r="M15" s="30">
        <f>M17/J8</f>
        <v>1.9293435088345627</v>
      </c>
      <c r="N15" s="3"/>
      <c r="P15" s="50"/>
    </row>
    <row r="16" spans="2:26" x14ac:dyDescent="0.2">
      <c r="B16" s="37"/>
      <c r="C16" s="38"/>
      <c r="D16" s="16"/>
      <c r="E16" s="16"/>
      <c r="F16" s="37"/>
      <c r="G16" s="38"/>
      <c r="H16" s="16"/>
      <c r="I16" s="9" t="s">
        <v>10</v>
      </c>
      <c r="J16" s="49">
        <f>J10*J11*J14*J15</f>
        <v>6.0414225639851464</v>
      </c>
      <c r="K16" s="29" t="s">
        <v>40</v>
      </c>
      <c r="M16" s="3" t="s">
        <v>22</v>
      </c>
      <c r="N16" s="3"/>
      <c r="O16" s="16"/>
      <c r="U16" s="16"/>
      <c r="V16" s="16"/>
      <c r="W16" s="16"/>
      <c r="X16" s="16"/>
      <c r="Y16" s="16"/>
    </row>
    <row r="17" spans="1:25" x14ac:dyDescent="0.2">
      <c r="B17" s="35" t="s">
        <v>27</v>
      </c>
      <c r="C17" s="35"/>
      <c r="D17" s="16"/>
      <c r="E17" s="16"/>
      <c r="F17" s="35" t="s">
        <v>29</v>
      </c>
      <c r="H17" s="9"/>
      <c r="I17" s="5"/>
      <c r="J17" s="8"/>
      <c r="M17" s="27">
        <f>L24</f>
        <v>407.09148036409272</v>
      </c>
      <c r="N17" s="5"/>
      <c r="O17" s="58"/>
      <c r="V17" s="16"/>
      <c r="W17" s="16"/>
      <c r="X17" s="16"/>
      <c r="Y17" s="16"/>
    </row>
    <row r="18" spans="1:25" x14ac:dyDescent="0.2">
      <c r="F18" s="23" t="s">
        <v>28</v>
      </c>
      <c r="O18" s="10" t="s">
        <v>14</v>
      </c>
      <c r="Q18" s="35"/>
      <c r="R18" s="16"/>
      <c r="U18" s="16"/>
      <c r="V18" s="16"/>
      <c r="W18" s="16"/>
      <c r="X18" s="53"/>
      <c r="Y18" s="53"/>
    </row>
    <row r="19" spans="1:25" x14ac:dyDescent="0.2">
      <c r="B19" s="4" t="s">
        <v>0</v>
      </c>
      <c r="C19" s="4" t="s">
        <v>26</v>
      </c>
      <c r="D19" s="4" t="s">
        <v>1</v>
      </c>
      <c r="E19" s="4" t="s">
        <v>19</v>
      </c>
      <c r="F19" s="4" t="s">
        <v>17</v>
      </c>
      <c r="G19" s="4" t="s">
        <v>18</v>
      </c>
      <c r="H19" s="4" t="s">
        <v>15</v>
      </c>
      <c r="I19" s="4" t="s">
        <v>2</v>
      </c>
      <c r="J19" s="11" t="s">
        <v>11</v>
      </c>
      <c r="K19" s="12" t="s">
        <v>12</v>
      </c>
      <c r="L19" s="12" t="s">
        <v>21</v>
      </c>
      <c r="M19" s="12" t="s">
        <v>23</v>
      </c>
      <c r="N19" s="12" t="s">
        <v>50</v>
      </c>
      <c r="O19" s="12" t="s">
        <v>56</v>
      </c>
      <c r="Q19" s="53"/>
      <c r="R19" s="53"/>
      <c r="S19" s="53"/>
      <c r="U19" s="16"/>
      <c r="V19" s="35"/>
      <c r="W19" s="16"/>
      <c r="X19" s="35"/>
      <c r="Y19" s="35"/>
    </row>
    <row r="20" spans="1:25" ht="15" x14ac:dyDescent="0.2">
      <c r="B20" s="23"/>
      <c r="C20" s="25"/>
      <c r="D20" s="23"/>
      <c r="E20" s="23"/>
      <c r="F20" s="40"/>
      <c r="G20" s="41"/>
      <c r="H20" s="32"/>
      <c r="I20" s="31"/>
      <c r="J20" s="41"/>
      <c r="K20" s="42"/>
      <c r="L20" s="43"/>
      <c r="M20" s="64"/>
      <c r="O20" s="46"/>
      <c r="Q20" s="63"/>
      <c r="R20" s="86"/>
      <c r="S20" s="58"/>
      <c r="T20" s="16"/>
      <c r="U20" s="35"/>
      <c r="V20" s="16"/>
      <c r="W20" s="16"/>
      <c r="X20" s="47"/>
      <c r="Y20" s="47"/>
    </row>
    <row r="21" spans="1:25" ht="15" x14ac:dyDescent="0.2">
      <c r="B21">
        <f>D21*2</f>
        <v>70</v>
      </c>
      <c r="C21" s="25" t="s">
        <v>57</v>
      </c>
      <c r="D21">
        <v>35</v>
      </c>
      <c r="E21">
        <f>D21</f>
        <v>35</v>
      </c>
      <c r="F21" s="40">
        <v>69.925700000000006</v>
      </c>
      <c r="G21" s="89">
        <f>F21/E21</f>
        <v>1.9978771428571431</v>
      </c>
      <c r="H21" s="57">
        <v>5</v>
      </c>
      <c r="I21" s="66" t="s">
        <v>63</v>
      </c>
      <c r="J21" s="69">
        <f t="shared" ref="J21:J32" si="0">$J$10*$J$11*G21*$J$15</f>
        <v>6.0422607383496798</v>
      </c>
      <c r="K21" s="42">
        <f t="shared" ref="K21:K32" si="1">$J$7*(1+$J$6*(J21-$J$16)/$J$16)</f>
        <v>108.38772119686377</v>
      </c>
      <c r="L21" s="70">
        <f t="shared" ref="L21:L32" si="2">$J$13/K21*$J$8/1000000</f>
        <v>407.06575042388795</v>
      </c>
      <c r="M21" s="70">
        <f>L21-$M$17</f>
        <v>-2.5729940204769264E-2</v>
      </c>
      <c r="N21" s="30">
        <f t="shared" ref="N21:N32" si="3">IF(ABS(M21)&gt;$M$15,M21-$M$15*SIGN(M21)*INT(M21/$M$15),M21)</f>
        <v>-2.5729940204769264E-2</v>
      </c>
      <c r="O21" s="46">
        <f t="shared" ref="O21:O32" si="4">J21/$J$24-1</f>
        <v>1.2309221591477737E-4</v>
      </c>
      <c r="Q21" s="63"/>
      <c r="R21" s="87"/>
      <c r="S21" s="53"/>
      <c r="T21" s="16"/>
      <c r="U21" s="53"/>
      <c r="V21" s="53"/>
      <c r="W21" s="16"/>
      <c r="X21" s="53"/>
      <c r="Y21" s="53"/>
    </row>
    <row r="22" spans="1:25" ht="15" x14ac:dyDescent="0.2">
      <c r="B22">
        <f t="shared" ref="B22:B32" si="5">D22*2</f>
        <v>68</v>
      </c>
      <c r="C22" s="25" t="s">
        <v>42</v>
      </c>
      <c r="D22">
        <v>34</v>
      </c>
      <c r="E22">
        <v>34</v>
      </c>
      <c r="F22">
        <v>67.923199999999994</v>
      </c>
      <c r="G22" s="89">
        <f>F22/E22</f>
        <v>1.9977411764705881</v>
      </c>
      <c r="H22">
        <v>5</v>
      </c>
      <c r="I22" s="66"/>
      <c r="J22" s="41">
        <f t="shared" si="0"/>
        <v>6.041849529701464</v>
      </c>
      <c r="K22" s="42">
        <f t="shared" si="1"/>
        <v>108.38393317487298</v>
      </c>
      <c r="L22" s="43">
        <f t="shared" si="2"/>
        <v>407.07997738510943</v>
      </c>
      <c r="M22" s="43">
        <f>L22-$M$17</f>
        <v>-1.1502978983287449E-2</v>
      </c>
      <c r="N22" s="30">
        <f t="shared" si="3"/>
        <v>-1.1502978983287449E-2</v>
      </c>
      <c r="O22" s="46">
        <f t="shared" si="4"/>
        <v>5.5028409566837411E-5</v>
      </c>
      <c r="Q22" s="63"/>
      <c r="R22" s="86"/>
      <c r="S22" s="58"/>
      <c r="T22" s="16"/>
      <c r="U22" s="35"/>
      <c r="V22" s="53"/>
      <c r="W22" s="16"/>
      <c r="X22" s="53"/>
      <c r="Y22" s="53"/>
    </row>
    <row r="23" spans="1:25" ht="15" x14ac:dyDescent="0.2">
      <c r="A23" s="25"/>
      <c r="B23">
        <f t="shared" si="5"/>
        <v>66</v>
      </c>
      <c r="C23" s="53" t="s">
        <v>37</v>
      </c>
      <c r="D23" s="55">
        <v>33</v>
      </c>
      <c r="E23" s="55">
        <v>33</v>
      </c>
      <c r="F23" s="56">
        <v>65.926100000000005</v>
      </c>
      <c r="G23" s="89">
        <f>F23/E23</f>
        <v>1.9977606060606061</v>
      </c>
      <c r="H23">
        <v>5</v>
      </c>
      <c r="I23" s="66" t="s">
        <v>63</v>
      </c>
      <c r="J23" s="41">
        <f t="shared" si="0"/>
        <v>6.0419082913972701</v>
      </c>
      <c r="K23" s="42">
        <f t="shared" si="1"/>
        <v>108.384474483031</v>
      </c>
      <c r="L23" s="43">
        <f t="shared" si="2"/>
        <v>407.07794429214317</v>
      </c>
      <c r="M23" s="64">
        <f>L23-$M$17</f>
        <v>-1.3536071949545203E-2</v>
      </c>
      <c r="N23" s="30">
        <f t="shared" si="3"/>
        <v>-1.3536071949545203E-2</v>
      </c>
      <c r="O23" s="46">
        <f t="shared" si="4"/>
        <v>6.4754724179438838E-5</v>
      </c>
      <c r="Q23" s="63"/>
      <c r="R23" s="87"/>
      <c r="S23" s="53"/>
      <c r="T23" s="16"/>
      <c r="U23" s="53"/>
      <c r="V23" s="53"/>
      <c r="W23" s="16"/>
      <c r="X23" s="53"/>
      <c r="Y23" s="53"/>
    </row>
    <row r="24" spans="1:25" ht="15" x14ac:dyDescent="0.2">
      <c r="A24" s="25" t="s">
        <v>51</v>
      </c>
      <c r="B24">
        <f t="shared" si="5"/>
        <v>64</v>
      </c>
      <c r="C24" s="74" t="s">
        <v>36</v>
      </c>
      <c r="D24" s="75">
        <v>32</v>
      </c>
      <c r="E24" s="75">
        <v>32</v>
      </c>
      <c r="F24" s="76">
        <v>63.924199999999999</v>
      </c>
      <c r="G24" s="90">
        <f>F24/E24</f>
        <v>1.99763125</v>
      </c>
      <c r="H24" s="77">
        <v>5</v>
      </c>
      <c r="I24" s="78"/>
      <c r="J24" s="79">
        <f t="shared" si="0"/>
        <v>6.0415170746254772</v>
      </c>
      <c r="K24" s="80">
        <f t="shared" si="1"/>
        <v>108.38087062464636</v>
      </c>
      <c r="L24" s="81">
        <f t="shared" si="2"/>
        <v>407.09148036409272</v>
      </c>
      <c r="M24" s="81">
        <f>L24-$M$17</f>
        <v>0</v>
      </c>
      <c r="N24" s="82">
        <f t="shared" si="3"/>
        <v>0</v>
      </c>
      <c r="O24" s="83">
        <f t="shared" si="4"/>
        <v>0</v>
      </c>
      <c r="Q24" s="63"/>
      <c r="R24" s="88"/>
      <c r="S24" s="53"/>
      <c r="T24" s="16"/>
      <c r="U24" s="53"/>
      <c r="V24" s="53"/>
      <c r="W24" s="16"/>
      <c r="X24" s="53"/>
      <c r="Y24" s="53"/>
    </row>
    <row r="25" spans="1:25" ht="15" x14ac:dyDescent="0.2">
      <c r="A25" s="25" t="s">
        <v>52</v>
      </c>
      <c r="B25">
        <f t="shared" si="5"/>
        <v>62</v>
      </c>
      <c r="C25" s="25" t="s">
        <v>39</v>
      </c>
      <c r="D25">
        <f>D24-1</f>
        <v>31</v>
      </c>
      <c r="E25">
        <f>D25</f>
        <v>31</v>
      </c>
      <c r="F25" s="40">
        <v>61.927199999999999</v>
      </c>
      <c r="G25" s="89">
        <f t="shared" ref="G25:G27" si="6">F25/E25</f>
        <v>1.9976516129032258</v>
      </c>
      <c r="H25" s="57">
        <v>5</v>
      </c>
      <c r="I25" s="66" t="s">
        <v>63</v>
      </c>
      <c r="J25" s="69">
        <f t="shared" si="0"/>
        <v>6.0415786589782092</v>
      </c>
      <c r="K25" s="42">
        <f t="shared" si="1"/>
        <v>108.38143793489981</v>
      </c>
      <c r="L25" s="70">
        <f t="shared" si="2"/>
        <v>407.08934949025212</v>
      </c>
      <c r="M25" s="70">
        <f t="shared" ref="M25:M26" si="7">L25-$M$17</f>
        <v>-2.1308738405991789E-3</v>
      </c>
      <c r="N25" s="30">
        <f t="shared" si="3"/>
        <v>-2.1308738405991789E-3</v>
      </c>
      <c r="O25" s="46">
        <f t="shared" si="4"/>
        <v>1.0193524568657963E-5</v>
      </c>
      <c r="Q25" s="63"/>
      <c r="R25" s="87"/>
      <c r="S25" s="53"/>
      <c r="T25" s="16"/>
      <c r="U25" s="53"/>
      <c r="V25" s="53"/>
      <c r="W25" s="16"/>
      <c r="X25" s="53"/>
      <c r="Y25" s="53"/>
    </row>
    <row r="26" spans="1:25" ht="15" x14ac:dyDescent="0.2">
      <c r="B26">
        <f t="shared" si="5"/>
        <v>60</v>
      </c>
      <c r="C26" s="25" t="s">
        <v>47</v>
      </c>
      <c r="D26">
        <f t="shared" ref="D26:E32" si="8">D25-1</f>
        <v>30</v>
      </c>
      <c r="E26">
        <f t="shared" ref="E26" si="9">D26</f>
        <v>30</v>
      </c>
      <c r="F26" s="40">
        <v>59.925400000000003</v>
      </c>
      <c r="G26" s="89">
        <f t="shared" si="6"/>
        <v>1.9975133333333335</v>
      </c>
      <c r="H26" s="57">
        <v>5</v>
      </c>
      <c r="I26" s="66"/>
      <c r="J26" s="69">
        <f t="shared" si="0"/>
        <v>6.0411604544759632</v>
      </c>
      <c r="K26" s="42">
        <f t="shared" si="1"/>
        <v>108.37758546764742</v>
      </c>
      <c r="L26" s="70">
        <f t="shared" si="2"/>
        <v>407.10382017974888</v>
      </c>
      <c r="M26" s="70">
        <f t="shared" si="7"/>
        <v>1.2339815656162045E-2</v>
      </c>
      <c r="N26" s="30">
        <f t="shared" si="3"/>
        <v>1.2339815656162045E-2</v>
      </c>
      <c r="O26" s="46">
        <f t="shared" si="4"/>
        <v>-5.9028244910885874E-5</v>
      </c>
      <c r="Q26" s="63"/>
      <c r="R26" s="87"/>
      <c r="S26" s="53"/>
      <c r="T26" s="16"/>
      <c r="U26" s="53"/>
      <c r="V26" s="58"/>
      <c r="W26" s="59"/>
      <c r="X26" s="35"/>
      <c r="Y26" s="53"/>
    </row>
    <row r="27" spans="1:25" ht="15" x14ac:dyDescent="0.2">
      <c r="B27">
        <f t="shared" si="5"/>
        <v>58</v>
      </c>
      <c r="C27" s="25" t="s">
        <v>48</v>
      </c>
      <c r="D27">
        <f t="shared" si="8"/>
        <v>29</v>
      </c>
      <c r="E27">
        <v>29</v>
      </c>
      <c r="F27">
        <v>57.928699999999999</v>
      </c>
      <c r="G27" s="89">
        <f t="shared" si="6"/>
        <v>1.9975413793103447</v>
      </c>
      <c r="H27">
        <v>5</v>
      </c>
      <c r="I27" s="66" t="s">
        <v>63</v>
      </c>
      <c r="J27" s="69">
        <f t="shared" si="0"/>
        <v>6.0412452750598362</v>
      </c>
      <c r="K27" s="42">
        <f t="shared" si="1"/>
        <v>108.37836682824957</v>
      </c>
      <c r="L27" s="70">
        <f t="shared" si="2"/>
        <v>407.10088513934016</v>
      </c>
      <c r="M27" s="70">
        <f t="shared" ref="M27" si="10">L27-$M$17</f>
        <v>9.4047752474466506E-3</v>
      </c>
      <c r="N27" s="30">
        <f t="shared" si="3"/>
        <v>9.4047752474466506E-3</v>
      </c>
      <c r="O27" s="46">
        <f t="shared" si="4"/>
        <v>-4.4988628234210459E-5</v>
      </c>
      <c r="Q27" s="63"/>
      <c r="R27" s="87"/>
      <c r="S27" s="53"/>
      <c r="T27" s="16"/>
      <c r="U27" s="53"/>
      <c r="V27" s="53"/>
      <c r="W27" s="16"/>
      <c r="X27" s="53"/>
      <c r="Y27" s="53"/>
    </row>
    <row r="28" spans="1:25" ht="15" x14ac:dyDescent="0.2">
      <c r="B28">
        <f t="shared" si="5"/>
        <v>56</v>
      </c>
      <c r="C28" s="53" t="s">
        <v>43</v>
      </c>
      <c r="D28">
        <f t="shared" si="8"/>
        <v>28</v>
      </c>
      <c r="E28" s="55">
        <v>28</v>
      </c>
      <c r="F28" s="56">
        <v>55.9268</v>
      </c>
      <c r="G28" s="89">
        <f>F28/E28</f>
        <v>1.9973857142857143</v>
      </c>
      <c r="H28" s="68">
        <v>5</v>
      </c>
      <c r="I28" s="66"/>
      <c r="J28" s="41">
        <f t="shared" si="0"/>
        <v>6.0407744910228791</v>
      </c>
      <c r="K28" s="42">
        <f t="shared" si="1"/>
        <v>108.37403000242492</v>
      </c>
      <c r="L28" s="43">
        <f t="shared" si="2"/>
        <v>407.11717617910188</v>
      </c>
      <c r="M28" s="43">
        <f>L28-$M$17</f>
        <v>2.5695815009157741E-2</v>
      </c>
      <c r="N28" s="30">
        <f t="shared" si="3"/>
        <v>2.5695815009157741E-2</v>
      </c>
      <c r="O28" s="46">
        <f t="shared" si="4"/>
        <v>-1.2291343273973521E-4</v>
      </c>
      <c r="Q28" s="63"/>
      <c r="R28" s="87"/>
      <c r="S28" s="53"/>
      <c r="T28" s="16"/>
      <c r="U28" s="53"/>
      <c r="V28" s="53"/>
      <c r="W28" s="16"/>
      <c r="X28" s="53"/>
      <c r="Y28" s="53"/>
    </row>
    <row r="29" spans="1:25" ht="15" x14ac:dyDescent="0.2">
      <c r="B29">
        <f t="shared" si="5"/>
        <v>54</v>
      </c>
      <c r="C29" s="25" t="s">
        <v>58</v>
      </c>
      <c r="D29">
        <f t="shared" si="8"/>
        <v>27</v>
      </c>
      <c r="E29">
        <f t="shared" si="8"/>
        <v>27</v>
      </c>
      <c r="F29">
        <v>53.933700000000002</v>
      </c>
      <c r="G29" s="89">
        <f>F29/E29</f>
        <v>1.9975444444444446</v>
      </c>
      <c r="H29" s="14">
        <v>5</v>
      </c>
      <c r="I29" s="66" t="s">
        <v>63</v>
      </c>
      <c r="J29" s="41">
        <f t="shared" si="0"/>
        <v>6.0412545450690036</v>
      </c>
      <c r="K29" s="42">
        <f t="shared" si="1"/>
        <v>108.37845222285091</v>
      </c>
      <c r="L29" s="43">
        <f t="shared" si="2"/>
        <v>407.10056437246186</v>
      </c>
      <c r="M29" s="43">
        <f>L29-$M$17</f>
        <v>9.0840083691432483E-3</v>
      </c>
      <c r="N29" s="30">
        <f t="shared" si="3"/>
        <v>9.0840083691432483E-3</v>
      </c>
      <c r="O29" s="46">
        <f t="shared" si="4"/>
        <v>-4.3454243897844691E-5</v>
      </c>
      <c r="Q29" s="63"/>
      <c r="R29" s="87"/>
      <c r="S29" s="53"/>
      <c r="T29" s="16"/>
      <c r="U29" s="53"/>
      <c r="V29" s="53"/>
      <c r="W29" s="16"/>
      <c r="X29" s="53"/>
      <c r="Y29" s="53"/>
    </row>
    <row r="30" spans="1:25" ht="15" x14ac:dyDescent="0.2">
      <c r="B30">
        <f t="shared" si="5"/>
        <v>52</v>
      </c>
      <c r="C30" s="53" t="s">
        <v>59</v>
      </c>
      <c r="D30">
        <f t="shared" si="8"/>
        <v>26</v>
      </c>
      <c r="E30">
        <f t="shared" si="8"/>
        <v>26</v>
      </c>
      <c r="F30">
        <v>51.933900000000001</v>
      </c>
      <c r="G30" s="89">
        <f>F30/E30</f>
        <v>1.9974576923076923</v>
      </c>
      <c r="H30" s="65">
        <v>5</v>
      </c>
      <c r="I30" s="66"/>
      <c r="J30" s="41">
        <f t="shared" si="0"/>
        <v>6.0409921770691799</v>
      </c>
      <c r="K30" s="42">
        <f t="shared" si="1"/>
        <v>108.37603530930271</v>
      </c>
      <c r="L30" s="43">
        <f t="shared" si="2"/>
        <v>407.10964319571559</v>
      </c>
      <c r="M30" s="43">
        <f>L30-$M$17</f>
        <v>1.816283162287391E-2</v>
      </c>
      <c r="N30" s="30">
        <f t="shared" si="3"/>
        <v>1.816283162287391E-2</v>
      </c>
      <c r="O30" s="46">
        <f t="shared" si="4"/>
        <v>-8.6881746722444753E-5</v>
      </c>
      <c r="Q30" s="63"/>
      <c r="R30" s="87"/>
      <c r="S30" s="53"/>
      <c r="T30" s="16"/>
      <c r="U30" s="53"/>
      <c r="V30" s="58"/>
      <c r="W30" s="16"/>
      <c r="X30" s="53"/>
      <c r="Y30" s="53"/>
    </row>
    <row r="31" spans="1:25" ht="15" x14ac:dyDescent="0.2">
      <c r="B31">
        <f t="shared" si="5"/>
        <v>50</v>
      </c>
      <c r="C31" s="25" t="s">
        <v>60</v>
      </c>
      <c r="D31">
        <f t="shared" si="8"/>
        <v>25</v>
      </c>
      <c r="E31">
        <f t="shared" si="8"/>
        <v>25</v>
      </c>
      <c r="F31">
        <v>49.940600000000003</v>
      </c>
      <c r="G31" s="89">
        <f>F31/E31</f>
        <v>1.9976240000000001</v>
      </c>
      <c r="H31" s="14">
        <v>5</v>
      </c>
      <c r="I31" s="66" t="s">
        <v>63</v>
      </c>
      <c r="J31" s="41">
        <f t="shared" si="0"/>
        <v>6.0414951481569208</v>
      </c>
      <c r="K31" s="42">
        <f t="shared" si="1"/>
        <v>108.38066863972841</v>
      </c>
      <c r="L31" s="43">
        <f t="shared" si="2"/>
        <v>407.09223904495616</v>
      </c>
      <c r="M31" s="43">
        <f>L31-$M$17</f>
        <v>7.5868086344144103E-4</v>
      </c>
      <c r="N31" s="30">
        <f t="shared" si="3"/>
        <v>7.5868086344144103E-4</v>
      </c>
      <c r="O31" s="46">
        <f t="shared" si="4"/>
        <v>-3.6292984503250025E-6</v>
      </c>
      <c r="Q31" s="63"/>
      <c r="R31" s="16"/>
      <c r="S31" s="16"/>
      <c r="T31" s="16"/>
      <c r="U31" s="16"/>
      <c r="Y31" s="53"/>
    </row>
    <row r="32" spans="1:25" ht="15" x14ac:dyDescent="0.2">
      <c r="B32">
        <f t="shared" si="5"/>
        <v>48</v>
      </c>
      <c r="C32" s="25" t="s">
        <v>46</v>
      </c>
      <c r="D32">
        <f t="shared" si="8"/>
        <v>24</v>
      </c>
      <c r="E32">
        <v>24</v>
      </c>
      <c r="F32" s="40">
        <v>47.940899999999999</v>
      </c>
      <c r="G32" s="89">
        <f>F32/E32</f>
        <v>1.9975375</v>
      </c>
      <c r="H32" s="14">
        <v>5</v>
      </c>
      <c r="I32" s="1"/>
      <c r="J32" s="41">
        <f t="shared" si="0"/>
        <v>6.041233542704485</v>
      </c>
      <c r="K32" s="42">
        <f t="shared" si="1"/>
        <v>108.37825875070727</v>
      </c>
      <c r="L32" s="43">
        <f t="shared" si="2"/>
        <v>407.10129111064509</v>
      </c>
      <c r="M32" s="43">
        <f>L32-$M$17</f>
        <v>9.810746552375349E-3</v>
      </c>
      <c r="N32" s="30">
        <f t="shared" si="3"/>
        <v>9.810746552375349E-3</v>
      </c>
      <c r="O32" s="46">
        <f t="shared" si="4"/>
        <v>-4.6930583409765525E-5</v>
      </c>
      <c r="Q32" s="63"/>
      <c r="R32" s="16"/>
      <c r="S32" s="16"/>
      <c r="T32" s="16"/>
      <c r="U32" s="16"/>
      <c r="Y32" s="53"/>
    </row>
    <row r="33" spans="1:25" ht="15" x14ac:dyDescent="0.2">
      <c r="Q33" s="63"/>
      <c r="R33" s="16"/>
      <c r="S33" s="16"/>
      <c r="T33" s="16"/>
      <c r="U33" s="16"/>
      <c r="Y33" s="53"/>
    </row>
    <row r="34" spans="1:25" ht="15" x14ac:dyDescent="0.2">
      <c r="I34" s="23" t="s">
        <v>64</v>
      </c>
      <c r="Q34" s="63"/>
      <c r="Y34" s="53"/>
    </row>
    <row r="35" spans="1:25" ht="15" x14ac:dyDescent="0.2">
      <c r="P35" s="31"/>
      <c r="Q35" s="63"/>
      <c r="Y35" s="53"/>
    </row>
    <row r="36" spans="1:25" ht="15" x14ac:dyDescent="0.2">
      <c r="C36" s="25"/>
      <c r="G36" s="55"/>
      <c r="H36" s="14"/>
      <c r="J36" s="41"/>
      <c r="K36" s="42"/>
      <c r="L36" s="43"/>
      <c r="M36" s="43"/>
      <c r="N36" s="30"/>
      <c r="O36" s="46"/>
      <c r="P36" s="1"/>
      <c r="Q36" s="63"/>
      <c r="Y36" s="53"/>
    </row>
    <row r="37" spans="1:25" x14ac:dyDescent="0.2">
      <c r="C37" s="25"/>
      <c r="G37" s="55"/>
      <c r="H37" s="14"/>
      <c r="I37" s="1"/>
      <c r="J37" s="41"/>
      <c r="K37" s="42"/>
      <c r="L37" s="43"/>
      <c r="M37" s="43"/>
      <c r="N37" s="30"/>
      <c r="O37" s="46"/>
      <c r="P37" s="1"/>
      <c r="Q37" s="1"/>
      <c r="Y37" s="53"/>
    </row>
    <row r="38" spans="1:25" x14ac:dyDescent="0.2">
      <c r="O38" s="36"/>
      <c r="P38" s="1"/>
      <c r="Q38" s="1"/>
      <c r="Y38" s="53"/>
    </row>
    <row r="39" spans="1:25" x14ac:dyDescent="0.2">
      <c r="N39" s="30"/>
      <c r="O39" s="36"/>
      <c r="P39" s="1"/>
      <c r="Q39" s="1"/>
      <c r="Y39" s="53"/>
    </row>
    <row r="40" spans="1:25" x14ac:dyDescent="0.2">
      <c r="G40" s="33"/>
      <c r="H40" s="14"/>
      <c r="I40" s="1"/>
      <c r="J40" s="33"/>
      <c r="K40" s="26"/>
      <c r="L40" s="34"/>
      <c r="M40" s="60"/>
      <c r="N40" s="46"/>
      <c r="O40" s="36"/>
      <c r="P40" s="1"/>
      <c r="Q40" s="1"/>
      <c r="Y40" s="53"/>
    </row>
    <row r="41" spans="1:25" x14ac:dyDescent="0.2">
      <c r="C41" s="2"/>
      <c r="F41" s="40"/>
      <c r="G41" s="33"/>
      <c r="H41" s="14"/>
      <c r="I41" s="1"/>
      <c r="J41" s="33"/>
      <c r="K41" s="26"/>
      <c r="L41" s="34"/>
      <c r="M41" s="60"/>
      <c r="N41" s="46"/>
      <c r="O41" s="36"/>
      <c r="P41" s="1"/>
      <c r="Q41" s="1"/>
      <c r="Y41" s="53"/>
    </row>
    <row r="42" spans="1:25" x14ac:dyDescent="0.2">
      <c r="C42" s="2"/>
      <c r="F42" s="40"/>
      <c r="G42" s="33"/>
      <c r="H42" s="14"/>
      <c r="I42" s="1"/>
      <c r="J42" s="33"/>
      <c r="K42" s="26"/>
      <c r="L42" s="34"/>
      <c r="M42" s="60"/>
      <c r="N42" s="46"/>
      <c r="O42" s="36"/>
      <c r="P42" s="1"/>
      <c r="Q42" s="1"/>
      <c r="Y42" s="16"/>
    </row>
    <row r="43" spans="1:25" x14ac:dyDescent="0.2">
      <c r="S43" s="31"/>
      <c r="Y43" s="16"/>
    </row>
    <row r="44" spans="1:25" x14ac:dyDescent="0.2">
      <c r="Y44" s="16"/>
    </row>
    <row r="45" spans="1:25" x14ac:dyDescent="0.2">
      <c r="A45" s="5"/>
    </row>
    <row r="46" spans="1:25" x14ac:dyDescent="0.2">
      <c r="A46" s="5"/>
    </row>
    <row r="47" spans="1:25" x14ac:dyDescent="0.2">
      <c r="C47" s="17"/>
      <c r="D47" s="5"/>
      <c r="E47" s="5"/>
      <c r="F47" s="5"/>
      <c r="G47" s="5"/>
      <c r="H47" s="18"/>
      <c r="I47" s="18"/>
      <c r="J47" s="19"/>
      <c r="K47" s="18"/>
      <c r="L47" s="6"/>
      <c r="M47" s="13"/>
      <c r="P47" s="5"/>
      <c r="Q47" s="5"/>
    </row>
    <row r="48" spans="1:25" x14ac:dyDescent="0.2">
      <c r="P48" s="5"/>
      <c r="Q48" s="5"/>
    </row>
    <row r="49" spans="16:20" x14ac:dyDescent="0.2">
      <c r="P49" s="20"/>
      <c r="Q49" s="20"/>
    </row>
    <row r="50" spans="16:20" x14ac:dyDescent="0.2">
      <c r="P50" s="5"/>
      <c r="Q50" s="5"/>
    </row>
    <row r="51" spans="16:20" x14ac:dyDescent="0.2">
      <c r="P51" s="5"/>
      <c r="Q51" s="5"/>
    </row>
    <row r="52" spans="16:20" x14ac:dyDescent="0.2">
      <c r="P52" s="5"/>
      <c r="Q52" s="5"/>
    </row>
    <row r="53" spans="16:20" x14ac:dyDescent="0.2">
      <c r="P53" s="5"/>
      <c r="Q53" s="5"/>
      <c r="S53" s="1"/>
      <c r="T53" s="1"/>
    </row>
    <row r="54" spans="16:20" x14ac:dyDescent="0.2">
      <c r="P54" s="5"/>
      <c r="Q54" s="5"/>
    </row>
    <row r="55" spans="16:20" x14ac:dyDescent="0.2">
      <c r="P55" s="5"/>
      <c r="Q55" s="5"/>
    </row>
    <row r="56" spans="16:20" x14ac:dyDescent="0.2">
      <c r="P56" s="5"/>
      <c r="Q56" s="5"/>
    </row>
    <row r="57" spans="16:20" x14ac:dyDescent="0.2">
      <c r="P57" s="5"/>
      <c r="Q57" s="5"/>
    </row>
    <row r="58" spans="16:20" x14ac:dyDescent="0.2">
      <c r="P58" s="5"/>
      <c r="Q58" s="5"/>
    </row>
    <row r="59" spans="16:20" x14ac:dyDescent="0.2">
      <c r="P59" s="5"/>
      <c r="Q59" s="5"/>
    </row>
    <row r="60" spans="16:20" x14ac:dyDescent="0.2">
      <c r="P60" s="5"/>
      <c r="Q60" s="5"/>
    </row>
    <row r="61" spans="16:20" x14ac:dyDescent="0.2">
      <c r="P61" s="5"/>
      <c r="Q61" s="5"/>
    </row>
    <row r="62" spans="16:20" x14ac:dyDescent="0.2">
      <c r="P62" s="5"/>
      <c r="Q62" s="5"/>
    </row>
    <row r="63" spans="16:20" x14ac:dyDescent="0.2">
      <c r="P63" s="5"/>
      <c r="Q63" s="5"/>
    </row>
    <row r="64" spans="16:20" x14ac:dyDescent="0.2">
      <c r="P64" s="5"/>
      <c r="Q64" s="5"/>
    </row>
    <row r="65" spans="1:17" x14ac:dyDescent="0.2">
      <c r="P65" s="5"/>
      <c r="Q65" s="5"/>
    </row>
    <row r="66" spans="1:17" x14ac:dyDescent="0.2">
      <c r="P66" s="5"/>
      <c r="Q66" s="5"/>
    </row>
    <row r="67" spans="1:17" x14ac:dyDescent="0.2">
      <c r="P67" s="5"/>
      <c r="Q67" s="5"/>
    </row>
    <row r="68" spans="1:17" x14ac:dyDescent="0.2">
      <c r="P68" s="5"/>
      <c r="Q68" s="5"/>
    </row>
    <row r="69" spans="1:17" x14ac:dyDescent="0.2">
      <c r="A69" s="5"/>
      <c r="B69" s="5"/>
      <c r="C69" s="17"/>
      <c r="D69" s="5"/>
      <c r="E69" s="5"/>
      <c r="F69" s="5"/>
      <c r="G69" s="5"/>
      <c r="H69" s="18"/>
      <c r="I69" s="18"/>
      <c r="J69" s="19"/>
      <c r="K69" s="18"/>
      <c r="L69" s="6"/>
      <c r="M69" s="13"/>
      <c r="P69" s="5"/>
      <c r="Q69" s="5"/>
    </row>
    <row r="70" spans="1:17" x14ac:dyDescent="0.2">
      <c r="A70" s="5"/>
      <c r="B70" s="5"/>
      <c r="C70" s="17"/>
      <c r="D70" s="5"/>
      <c r="E70" s="5"/>
      <c r="F70" s="5"/>
      <c r="G70" s="5"/>
      <c r="H70" s="18"/>
      <c r="I70" s="18"/>
      <c r="J70" s="19"/>
      <c r="K70" s="18"/>
      <c r="L70" s="6"/>
      <c r="M70" s="13"/>
      <c r="N70" s="5"/>
      <c r="O70" s="15"/>
      <c r="P70" s="5"/>
      <c r="Q70" s="5"/>
    </row>
    <row r="71" spans="1:17" x14ac:dyDescent="0.2">
      <c r="A71" s="5"/>
      <c r="B71" s="5"/>
      <c r="C71" s="17"/>
      <c r="D71" s="5"/>
      <c r="E71" s="5"/>
      <c r="F71" s="5"/>
      <c r="G71" s="5"/>
      <c r="H71" s="18"/>
      <c r="I71" s="18"/>
      <c r="J71" s="19"/>
      <c r="K71" s="18"/>
      <c r="L71" s="6"/>
      <c r="M71" s="13"/>
      <c r="N71" s="5"/>
      <c r="O71" s="15"/>
      <c r="P71" s="5"/>
      <c r="Q71" s="5"/>
    </row>
    <row r="72" spans="1:17" x14ac:dyDescent="0.2">
      <c r="A72" s="5"/>
      <c r="B72" s="5"/>
      <c r="C72" s="17"/>
      <c r="D72" s="5"/>
      <c r="E72" s="5"/>
      <c r="F72" s="5"/>
      <c r="G72" s="5"/>
      <c r="H72" s="18"/>
      <c r="I72" s="18"/>
      <c r="J72" s="19"/>
      <c r="K72" s="18"/>
      <c r="L72" s="6"/>
      <c r="M72" s="13"/>
      <c r="N72" s="5"/>
      <c r="O72" s="15"/>
      <c r="P72" s="5"/>
      <c r="Q72" s="5"/>
    </row>
    <row r="73" spans="1:17" x14ac:dyDescent="0.2">
      <c r="A73" s="5"/>
      <c r="B73" s="5"/>
      <c r="C73" s="17"/>
      <c r="D73" s="5"/>
      <c r="E73" s="5"/>
      <c r="F73" s="5"/>
      <c r="G73" s="5"/>
      <c r="H73" s="18"/>
      <c r="I73" s="18"/>
      <c r="J73" s="19"/>
      <c r="K73" s="18"/>
      <c r="L73" s="6"/>
      <c r="M73" s="13"/>
      <c r="N73" s="5"/>
      <c r="O73" s="15"/>
      <c r="P73" s="5"/>
      <c r="Q73" s="5"/>
    </row>
    <row r="74" spans="1:17" x14ac:dyDescent="0.2">
      <c r="A74" s="5"/>
      <c r="B74" s="5"/>
      <c r="C74" s="17"/>
      <c r="D74" s="5"/>
      <c r="E74" s="5"/>
      <c r="F74" s="5"/>
      <c r="G74" s="5"/>
      <c r="H74" s="18"/>
      <c r="I74" s="18"/>
      <c r="J74" s="19"/>
      <c r="K74" s="18"/>
      <c r="L74" s="6"/>
      <c r="M74" s="13"/>
      <c r="N74" s="5"/>
      <c r="O74" s="15"/>
      <c r="P74" s="5"/>
      <c r="Q74" s="5"/>
    </row>
    <row r="75" spans="1:17" x14ac:dyDescent="0.2">
      <c r="A75" s="5"/>
      <c r="B75" s="5"/>
      <c r="C75" s="17"/>
      <c r="D75" s="5" t="s">
        <v>31</v>
      </c>
      <c r="E75" s="5" t="s">
        <v>32</v>
      </c>
      <c r="F75" s="5"/>
      <c r="G75" s="5" t="s">
        <v>33</v>
      </c>
      <c r="H75" s="18"/>
      <c r="I75" s="18"/>
      <c r="J75" s="19"/>
      <c r="K75" s="18"/>
      <c r="L75" s="6"/>
      <c r="M75" s="13"/>
      <c r="N75" s="5"/>
      <c r="O75" s="15"/>
      <c r="P75" s="5"/>
      <c r="Q75" s="5"/>
    </row>
    <row r="76" spans="1:17" x14ac:dyDescent="0.2">
      <c r="A76" s="5"/>
      <c r="B76" s="5"/>
      <c r="C76" s="17"/>
      <c r="D76" s="5">
        <v>196</v>
      </c>
      <c r="E76" s="5">
        <f>10.8+4.5+11</f>
        <v>26.3</v>
      </c>
      <c r="F76" s="5"/>
      <c r="G76" s="5"/>
      <c r="H76" s="18"/>
      <c r="I76" s="18"/>
      <c r="J76" s="19"/>
      <c r="K76" s="18"/>
      <c r="L76" s="6"/>
      <c r="M76" s="13"/>
      <c r="N76" s="5"/>
      <c r="O76" s="15"/>
      <c r="P76" s="5"/>
      <c r="Q76" s="5"/>
    </row>
    <row r="77" spans="1:17" x14ac:dyDescent="0.2">
      <c r="A77" s="5"/>
      <c r="B77" s="5"/>
      <c r="C77" s="17"/>
      <c r="D77" s="5">
        <f>$D$76*E77/$E$76</f>
        <v>11.551330798479087</v>
      </c>
      <c r="E77" s="5">
        <v>1.55</v>
      </c>
      <c r="F77" s="5"/>
      <c r="G77" s="5"/>
      <c r="H77" s="18"/>
      <c r="I77" s="18"/>
      <c r="J77" s="19"/>
      <c r="K77" s="18"/>
      <c r="L77" s="6"/>
      <c r="M77" s="13"/>
      <c r="N77" s="5"/>
      <c r="O77" s="15"/>
      <c r="P77" s="5"/>
      <c r="Q77" s="5"/>
    </row>
    <row r="78" spans="1:17" x14ac:dyDescent="0.2">
      <c r="A78" s="5"/>
      <c r="B78" s="5"/>
      <c r="C78" s="17"/>
      <c r="D78" s="5">
        <f>$D$76*E78/$E$76</f>
        <v>96.882129277566534</v>
      </c>
      <c r="E78" s="5">
        <v>13</v>
      </c>
      <c r="F78" s="5"/>
      <c r="G78" s="5">
        <f>242.907+D78/1000</f>
        <v>243.00388212927757</v>
      </c>
      <c r="H78" s="51">
        <f>G78-$G$78</f>
        <v>0</v>
      </c>
      <c r="I78" s="52">
        <f>H78*1000</f>
        <v>0</v>
      </c>
      <c r="J78" s="19"/>
      <c r="K78" s="18"/>
      <c r="L78" s="6"/>
      <c r="M78" s="13"/>
      <c r="N78" s="5"/>
      <c r="O78" s="15"/>
      <c r="P78" s="5"/>
      <c r="Q78" s="5"/>
    </row>
    <row r="79" spans="1:17" x14ac:dyDescent="0.2">
      <c r="A79" s="5"/>
      <c r="B79" s="5"/>
      <c r="C79" s="17"/>
      <c r="D79" s="5">
        <f>$D$76*E79/$E$76</f>
        <v>85.703422053231932</v>
      </c>
      <c r="E79" s="5">
        <v>11.5</v>
      </c>
      <c r="F79" s="5"/>
      <c r="G79" s="5">
        <f>242.907+D79/1000</f>
        <v>242.99270342205324</v>
      </c>
      <c r="H79" s="51">
        <f>G79-$G$78</f>
        <v>-1.1178707224331674E-2</v>
      </c>
      <c r="I79" s="52">
        <f>H79*1000</f>
        <v>-11.178707224331674</v>
      </c>
      <c r="J79" s="19"/>
      <c r="K79" s="18"/>
      <c r="L79" s="6"/>
      <c r="M79" s="13"/>
      <c r="N79" s="5"/>
      <c r="O79" s="15"/>
      <c r="P79" s="5"/>
      <c r="Q79" s="5"/>
    </row>
    <row r="80" spans="1:17" x14ac:dyDescent="0.2">
      <c r="A80" s="5"/>
      <c r="B80" s="5"/>
      <c r="C80" s="17"/>
      <c r="D80" s="5"/>
      <c r="E80" s="5"/>
      <c r="F80" s="5"/>
      <c r="G80" s="5"/>
      <c r="H80" s="18"/>
      <c r="I80" s="18"/>
      <c r="J80" s="19"/>
      <c r="K80" s="18"/>
      <c r="L80" s="6"/>
      <c r="M80" s="13"/>
      <c r="N80" s="5"/>
      <c r="O80" s="15"/>
      <c r="P80" s="5"/>
      <c r="Q80" s="5"/>
    </row>
    <row r="81" spans="1:17" x14ac:dyDescent="0.2">
      <c r="A81" s="5"/>
      <c r="B81" s="5"/>
      <c r="C81" s="17"/>
      <c r="D81" s="5"/>
      <c r="E81" s="5"/>
      <c r="F81" s="5"/>
      <c r="G81" s="5"/>
      <c r="H81" s="18"/>
      <c r="I81" s="18"/>
      <c r="J81" s="19"/>
      <c r="K81" s="18"/>
      <c r="L81" s="6"/>
      <c r="M81" s="13"/>
      <c r="N81" s="5"/>
      <c r="O81" s="15"/>
      <c r="P81" s="5"/>
      <c r="Q81" s="5"/>
    </row>
    <row r="82" spans="1:17" x14ac:dyDescent="0.2">
      <c r="A82" s="5"/>
      <c r="B82" s="5"/>
      <c r="C82" s="17"/>
      <c r="D82" s="5"/>
      <c r="E82" s="5"/>
      <c r="F82" s="5"/>
      <c r="G82" s="5"/>
      <c r="H82" s="18"/>
      <c r="I82" s="18"/>
      <c r="J82" s="19"/>
      <c r="K82" s="18"/>
      <c r="L82" s="6"/>
      <c r="M82" s="13"/>
      <c r="N82" s="5"/>
      <c r="O82" s="15"/>
      <c r="P82" s="5"/>
      <c r="Q82" s="5"/>
    </row>
    <row r="83" spans="1:17" x14ac:dyDescent="0.2">
      <c r="A83" s="5"/>
      <c r="B83" s="5"/>
      <c r="C83" s="17"/>
      <c r="D83" s="5"/>
      <c r="E83" s="5"/>
      <c r="F83" s="5"/>
      <c r="G83" s="5"/>
      <c r="H83" s="18"/>
      <c r="I83" s="18"/>
      <c r="J83" s="19"/>
      <c r="K83" s="18"/>
      <c r="L83" s="6"/>
      <c r="M83" s="13"/>
      <c r="N83" s="5"/>
      <c r="O83" s="15"/>
      <c r="P83" s="5"/>
      <c r="Q83" s="5"/>
    </row>
    <row r="84" spans="1:17" x14ac:dyDescent="0.2">
      <c r="A84" s="5"/>
      <c r="B84" s="5"/>
      <c r="C84" s="17"/>
      <c r="D84" s="5"/>
      <c r="E84" s="5"/>
      <c r="F84" s="5"/>
      <c r="G84" s="5"/>
      <c r="H84" s="18"/>
      <c r="I84" s="18"/>
      <c r="J84" s="19"/>
      <c r="K84" s="18"/>
      <c r="L84" s="6"/>
      <c r="M84" s="13"/>
      <c r="N84" s="5"/>
      <c r="O84" s="15"/>
      <c r="P84" s="5"/>
      <c r="Q84" s="5"/>
    </row>
    <row r="85" spans="1:17" x14ac:dyDescent="0.2">
      <c r="A85" s="5"/>
      <c r="B85" s="5"/>
      <c r="C85" s="17"/>
      <c r="D85" s="5"/>
      <c r="E85" s="5"/>
      <c r="F85" s="5"/>
      <c r="G85" s="5"/>
      <c r="H85" s="18"/>
      <c r="I85" s="18"/>
      <c r="J85" s="19"/>
      <c r="K85" s="18"/>
      <c r="L85" s="6"/>
      <c r="M85" s="13"/>
      <c r="N85" s="5"/>
      <c r="O85" s="15"/>
      <c r="P85" s="5"/>
      <c r="Q85" s="5"/>
    </row>
    <row r="86" spans="1:17" x14ac:dyDescent="0.2">
      <c r="A86" s="5"/>
      <c r="B86" s="5"/>
      <c r="C86" s="17"/>
      <c r="D86" s="5"/>
      <c r="E86" s="5"/>
      <c r="F86" s="5"/>
      <c r="G86" s="5"/>
      <c r="H86" s="18"/>
      <c r="I86" s="18"/>
      <c r="J86" s="19"/>
      <c r="K86" s="18"/>
      <c r="L86" s="6"/>
      <c r="M86" s="13"/>
      <c r="N86" s="5"/>
      <c r="O86" s="15"/>
      <c r="P86" s="5"/>
      <c r="Q86" s="5"/>
    </row>
    <row r="87" spans="1:17" x14ac:dyDescent="0.2">
      <c r="A87" s="5"/>
      <c r="B87" s="5"/>
      <c r="C87" s="17"/>
      <c r="D87" s="5"/>
      <c r="E87" s="5"/>
      <c r="F87" s="5"/>
      <c r="G87" s="5"/>
      <c r="H87" s="18"/>
      <c r="I87" s="18"/>
      <c r="J87" s="19"/>
      <c r="K87" s="18"/>
      <c r="L87" s="6"/>
      <c r="M87" s="13"/>
      <c r="N87" s="5"/>
      <c r="O87" s="15"/>
      <c r="P87" s="5"/>
      <c r="Q87" s="5"/>
    </row>
    <row r="88" spans="1:17" x14ac:dyDescent="0.2">
      <c r="A88" s="5"/>
      <c r="B88" s="5"/>
      <c r="C88" s="17"/>
      <c r="D88" s="5"/>
      <c r="E88" s="5"/>
      <c r="F88" s="5"/>
      <c r="G88" s="5"/>
      <c r="H88" s="18"/>
      <c r="I88" s="18"/>
      <c r="J88" s="19"/>
      <c r="K88" s="18"/>
      <c r="L88" s="6"/>
      <c r="M88" s="13"/>
      <c r="N88" s="5"/>
      <c r="O88" s="15"/>
      <c r="P88" s="5"/>
      <c r="Q88" s="5"/>
    </row>
    <row r="89" spans="1:17" x14ac:dyDescent="0.2">
      <c r="A89" s="5"/>
      <c r="B89" s="5"/>
      <c r="C89" s="17"/>
      <c r="D89" s="5"/>
      <c r="E89" s="5"/>
      <c r="F89" s="5"/>
      <c r="G89" s="5"/>
      <c r="H89" s="18"/>
      <c r="I89" s="18"/>
      <c r="J89" s="19"/>
      <c r="K89" s="18"/>
      <c r="L89" s="6"/>
      <c r="M89" s="13"/>
      <c r="N89" s="5"/>
      <c r="O89" s="15"/>
      <c r="P89" s="5"/>
      <c r="Q89" s="5"/>
    </row>
    <row r="90" spans="1:17" x14ac:dyDescent="0.2">
      <c r="A90" s="5"/>
      <c r="B90" s="5"/>
      <c r="C90" s="17"/>
      <c r="D90" s="5"/>
      <c r="E90" s="5"/>
      <c r="F90" s="5"/>
      <c r="G90" s="5"/>
      <c r="H90" s="18"/>
      <c r="I90" s="18"/>
      <c r="J90" s="19"/>
      <c r="K90" s="18"/>
      <c r="L90" s="6"/>
      <c r="M90" s="13"/>
      <c r="N90" s="5"/>
      <c r="O90" s="15"/>
      <c r="P90" s="5"/>
      <c r="Q90" s="5"/>
    </row>
    <row r="91" spans="1:17" x14ac:dyDescent="0.2">
      <c r="A91" s="5"/>
      <c r="B91" s="5"/>
      <c r="C91" s="17"/>
      <c r="D91" s="5"/>
      <c r="E91" s="5"/>
      <c r="F91" s="5"/>
      <c r="G91" s="5"/>
      <c r="H91" s="18"/>
      <c r="I91" s="18"/>
      <c r="J91" s="19"/>
      <c r="K91" s="18"/>
      <c r="L91" s="6"/>
      <c r="M91" s="13"/>
      <c r="N91" s="5"/>
      <c r="O91" s="15"/>
      <c r="P91" s="5"/>
      <c r="Q91" s="5"/>
    </row>
    <row r="92" spans="1:17" x14ac:dyDescent="0.2">
      <c r="A92" s="5"/>
      <c r="B92" s="5"/>
      <c r="C92" s="17"/>
      <c r="D92" s="5"/>
      <c r="E92" s="5"/>
      <c r="F92" s="5"/>
      <c r="G92" s="5"/>
      <c r="H92" s="18"/>
      <c r="I92" s="18"/>
      <c r="J92" s="19"/>
      <c r="K92" s="18"/>
      <c r="L92" s="6"/>
      <c r="M92" s="13"/>
      <c r="N92" s="5"/>
      <c r="O92" s="15"/>
      <c r="P92" s="5"/>
      <c r="Q92" s="5"/>
    </row>
    <row r="93" spans="1:17" x14ac:dyDescent="0.2">
      <c r="A93" s="5"/>
      <c r="B93" s="5"/>
      <c r="C93" s="17"/>
      <c r="D93" s="5"/>
      <c r="E93" s="5"/>
      <c r="F93" s="5"/>
      <c r="G93" s="5"/>
      <c r="H93" s="18"/>
      <c r="I93" s="18"/>
      <c r="J93" s="19"/>
      <c r="K93" s="18"/>
      <c r="L93" s="6"/>
      <c r="M93" s="13"/>
      <c r="N93" s="5"/>
      <c r="O93" s="15"/>
      <c r="P93" s="5"/>
      <c r="Q93" s="5"/>
    </row>
    <row r="94" spans="1:17" x14ac:dyDescent="0.2">
      <c r="A94" s="5"/>
      <c r="B94" s="5"/>
      <c r="C94" s="17"/>
      <c r="D94" s="5"/>
      <c r="E94" s="5"/>
      <c r="F94" s="5"/>
      <c r="G94" s="5"/>
      <c r="H94" s="18"/>
      <c r="I94" s="18"/>
      <c r="J94" s="19"/>
      <c r="K94" s="18"/>
      <c r="L94" s="6"/>
      <c r="M94" s="13"/>
      <c r="N94" s="5"/>
      <c r="O94" s="15"/>
      <c r="P94" s="5"/>
      <c r="Q94" s="5"/>
    </row>
    <row r="95" spans="1:17" x14ac:dyDescent="0.2">
      <c r="A95" s="5"/>
      <c r="B95" s="5"/>
      <c r="C95" s="17"/>
      <c r="D95" s="5"/>
      <c r="E95" s="5"/>
      <c r="F95" s="5"/>
      <c r="G95" s="5"/>
      <c r="H95" s="18"/>
      <c r="I95" s="18"/>
      <c r="J95" s="19"/>
      <c r="K95" s="18"/>
      <c r="L95" s="6"/>
      <c r="M95" s="13"/>
      <c r="N95" s="5"/>
      <c r="O95" s="15"/>
      <c r="P95" s="5"/>
      <c r="Q95" s="5"/>
    </row>
    <row r="96" spans="1:17" x14ac:dyDescent="0.2">
      <c r="A96" s="5"/>
      <c r="B96" s="5"/>
      <c r="C96" s="17"/>
      <c r="D96" s="5"/>
      <c r="E96" s="5"/>
      <c r="F96" s="5"/>
      <c r="G96" s="5"/>
      <c r="H96" s="18"/>
      <c r="I96" s="18"/>
      <c r="J96" s="19"/>
      <c r="K96" s="18"/>
      <c r="L96" s="6"/>
      <c r="M96" s="13"/>
      <c r="N96" s="5"/>
      <c r="O96" s="15"/>
      <c r="P96" s="5"/>
      <c r="Q96" s="5"/>
    </row>
    <row r="97" spans="1:17" x14ac:dyDescent="0.2">
      <c r="A97" s="5"/>
      <c r="B97" s="5"/>
      <c r="C97" s="17"/>
      <c r="D97" s="5"/>
      <c r="E97" s="5"/>
      <c r="F97" s="5"/>
      <c r="G97" s="5"/>
      <c r="H97" s="18"/>
      <c r="I97" s="18"/>
      <c r="J97" s="19"/>
      <c r="K97" s="18"/>
      <c r="L97" s="6"/>
      <c r="M97" s="13"/>
      <c r="N97" s="5"/>
      <c r="O97" s="15"/>
      <c r="P97" s="5"/>
      <c r="Q97" s="5"/>
    </row>
    <row r="98" spans="1:17" x14ac:dyDescent="0.2">
      <c r="A98" s="5"/>
      <c r="B98" s="5"/>
      <c r="C98" s="17"/>
      <c r="D98" s="5"/>
      <c r="E98" s="5"/>
      <c r="F98" s="5"/>
      <c r="G98" s="5"/>
      <c r="H98" s="18"/>
      <c r="I98" s="18"/>
      <c r="J98" s="19"/>
      <c r="K98" s="18"/>
      <c r="L98" s="6"/>
      <c r="M98" s="13"/>
      <c r="N98" s="5"/>
      <c r="O98" s="15"/>
      <c r="P98" s="5"/>
      <c r="Q98" s="5"/>
    </row>
    <row r="99" spans="1:17" x14ac:dyDescent="0.2">
      <c r="A99" s="5"/>
      <c r="B99" s="5"/>
      <c r="C99" s="17"/>
      <c r="D99" s="5"/>
      <c r="E99" s="5"/>
      <c r="F99" s="5"/>
      <c r="G99" s="5"/>
      <c r="H99" s="18"/>
      <c r="I99" s="18"/>
      <c r="J99" s="19"/>
      <c r="K99" s="18"/>
      <c r="L99" s="6"/>
      <c r="M99" s="13"/>
      <c r="N99" s="5"/>
      <c r="O99" s="15"/>
      <c r="P99" s="5"/>
      <c r="Q99" s="5"/>
    </row>
    <row r="100" spans="1:17" x14ac:dyDescent="0.2">
      <c r="A100" s="5"/>
      <c r="B100" s="5"/>
      <c r="C100" s="17"/>
      <c r="D100" s="5"/>
      <c r="E100" s="5"/>
      <c r="F100" s="5"/>
      <c r="G100" s="5"/>
      <c r="H100" s="18"/>
      <c r="I100" s="18"/>
      <c r="J100" s="19"/>
      <c r="K100" s="18"/>
      <c r="L100" s="6"/>
      <c r="M100" s="13"/>
      <c r="N100" s="5"/>
      <c r="O100" s="15"/>
      <c r="P100" s="5"/>
      <c r="Q100" s="5"/>
    </row>
    <row r="101" spans="1:17" x14ac:dyDescent="0.2">
      <c r="A101" s="5"/>
      <c r="B101" s="5"/>
      <c r="C101" s="17"/>
      <c r="D101" s="5"/>
      <c r="E101" s="5"/>
      <c r="F101" s="5"/>
      <c r="G101" s="5"/>
      <c r="H101" s="18"/>
      <c r="I101" s="18"/>
      <c r="J101" s="19"/>
      <c r="K101" s="18"/>
      <c r="L101" s="6"/>
      <c r="M101" s="13"/>
      <c r="N101" s="5"/>
      <c r="O101" s="15"/>
      <c r="P101" s="5"/>
      <c r="Q101" s="5"/>
    </row>
    <row r="102" spans="1:17" x14ac:dyDescent="0.2">
      <c r="A102" s="5"/>
      <c r="B102" s="5"/>
      <c r="C102" s="17"/>
      <c r="D102" s="5"/>
      <c r="E102" s="5"/>
      <c r="F102" s="5"/>
      <c r="G102" s="5"/>
      <c r="H102" s="18"/>
      <c r="I102" s="18"/>
      <c r="J102" s="19"/>
      <c r="K102" s="18"/>
      <c r="L102" s="6"/>
      <c r="M102" s="13"/>
      <c r="N102" s="5"/>
      <c r="O102" s="15"/>
      <c r="P102" s="5"/>
      <c r="Q102" s="5"/>
    </row>
    <row r="103" spans="1:17" x14ac:dyDescent="0.2">
      <c r="A103" s="5"/>
      <c r="B103" s="5"/>
      <c r="C103" s="17"/>
      <c r="D103" s="5"/>
      <c r="E103" s="5"/>
      <c r="F103" s="5"/>
      <c r="G103" s="5"/>
      <c r="H103" s="18"/>
      <c r="I103" s="18"/>
      <c r="J103" s="19"/>
      <c r="K103" s="18"/>
      <c r="L103" s="6"/>
      <c r="M103" s="13"/>
      <c r="N103" s="5"/>
      <c r="O103" s="15"/>
      <c r="P103" s="5"/>
      <c r="Q103" s="5"/>
    </row>
    <row r="104" spans="1:17" x14ac:dyDescent="0.2">
      <c r="A104" s="5"/>
      <c r="B104" s="5"/>
      <c r="C104" s="17"/>
      <c r="D104" s="5"/>
      <c r="E104" s="5"/>
      <c r="F104" s="5"/>
      <c r="G104" s="5"/>
      <c r="H104" s="18"/>
      <c r="I104" s="18"/>
      <c r="J104" s="19"/>
      <c r="K104" s="18"/>
      <c r="L104" s="6"/>
      <c r="M104" s="13"/>
      <c r="N104" s="5"/>
      <c r="O104" s="15"/>
      <c r="P104" s="5"/>
      <c r="Q104" s="5"/>
    </row>
    <row r="105" spans="1:17" x14ac:dyDescent="0.2">
      <c r="A105" s="5"/>
      <c r="B105" s="5"/>
      <c r="C105" s="17"/>
      <c r="D105" s="5"/>
      <c r="E105" s="5"/>
      <c r="F105" s="5"/>
      <c r="G105" s="5"/>
      <c r="H105" s="18"/>
      <c r="I105" s="18"/>
      <c r="J105" s="19"/>
      <c r="K105" s="18"/>
      <c r="L105" s="6"/>
      <c r="M105" s="13"/>
      <c r="N105" s="5"/>
      <c r="O105" s="15"/>
      <c r="P105" s="5"/>
      <c r="Q105" s="5"/>
    </row>
    <row r="106" spans="1:17" x14ac:dyDescent="0.2">
      <c r="A106" s="5"/>
      <c r="B106" s="5"/>
      <c r="C106" s="17"/>
      <c r="D106" s="5"/>
      <c r="E106" s="5"/>
      <c r="F106" s="5"/>
      <c r="G106" s="5"/>
      <c r="H106" s="18"/>
      <c r="I106" s="18"/>
      <c r="J106" s="19"/>
      <c r="K106" s="18"/>
      <c r="L106" s="6"/>
      <c r="M106" s="13"/>
      <c r="N106" s="5"/>
      <c r="O106" s="15"/>
      <c r="P106" s="5"/>
      <c r="Q106" s="5"/>
    </row>
    <row r="107" spans="1:17" x14ac:dyDescent="0.2">
      <c r="A107" s="5"/>
      <c r="B107" s="5"/>
      <c r="C107" s="17"/>
      <c r="D107" s="5"/>
      <c r="E107" s="5"/>
      <c r="F107" s="5"/>
      <c r="G107" s="5"/>
      <c r="H107" s="18"/>
      <c r="I107" s="18"/>
      <c r="J107" s="19"/>
      <c r="K107" s="18"/>
      <c r="L107" s="6"/>
      <c r="M107" s="13"/>
      <c r="N107" s="5"/>
      <c r="O107" s="15"/>
      <c r="P107" s="5"/>
      <c r="Q107" s="5"/>
    </row>
    <row r="108" spans="1:17" x14ac:dyDescent="0.2">
      <c r="A108" s="5"/>
      <c r="B108" s="5"/>
      <c r="C108" s="17"/>
      <c r="D108" s="5"/>
      <c r="E108" s="5"/>
      <c r="F108" s="5"/>
      <c r="G108" s="5"/>
      <c r="H108" s="18"/>
      <c r="I108" s="18"/>
      <c r="J108" s="19"/>
      <c r="K108" s="18"/>
      <c r="L108" s="6"/>
      <c r="M108" s="13"/>
      <c r="N108" s="5"/>
      <c r="O108" s="15"/>
      <c r="P108" s="5"/>
      <c r="Q108" s="5"/>
    </row>
    <row r="109" spans="1:17" x14ac:dyDescent="0.2">
      <c r="A109" s="5"/>
      <c r="B109" s="5"/>
      <c r="C109" s="17"/>
      <c r="D109" s="5"/>
      <c r="E109" s="5"/>
      <c r="F109" s="5"/>
      <c r="G109" s="5"/>
      <c r="H109" s="18"/>
      <c r="I109" s="18"/>
      <c r="J109" s="19"/>
      <c r="K109" s="18"/>
      <c r="L109" s="6"/>
      <c r="M109" s="13"/>
      <c r="N109" s="5"/>
      <c r="O109" s="15"/>
      <c r="P109" s="5"/>
      <c r="Q109" s="5"/>
    </row>
    <row r="110" spans="1:17" x14ac:dyDescent="0.2">
      <c r="A110" s="5"/>
      <c r="B110" s="5"/>
      <c r="C110" s="17"/>
      <c r="D110" s="5"/>
      <c r="E110" s="5"/>
      <c r="F110" s="5"/>
      <c r="G110" s="5"/>
      <c r="H110" s="18"/>
      <c r="I110" s="18"/>
      <c r="J110" s="19"/>
      <c r="K110" s="18"/>
      <c r="L110" s="6"/>
      <c r="M110" s="13"/>
      <c r="N110" s="5"/>
      <c r="O110" s="15"/>
      <c r="P110" s="5"/>
      <c r="Q110" s="5"/>
    </row>
    <row r="111" spans="1:17" x14ac:dyDescent="0.2">
      <c r="A111" s="5"/>
      <c r="B111" s="5"/>
      <c r="C111" s="17"/>
      <c r="D111" s="5"/>
      <c r="E111" s="5"/>
      <c r="F111" s="5"/>
      <c r="G111" s="5"/>
      <c r="H111" s="18"/>
      <c r="I111" s="18"/>
      <c r="J111" s="19"/>
      <c r="K111" s="18"/>
      <c r="L111" s="6"/>
      <c r="M111" s="13"/>
      <c r="N111" s="5"/>
      <c r="O111" s="15"/>
      <c r="P111" s="5"/>
      <c r="Q111" s="5"/>
    </row>
    <row r="112" spans="1:17" x14ac:dyDescent="0.2">
      <c r="A112" s="5"/>
      <c r="B112" s="5"/>
      <c r="C112" s="17"/>
      <c r="D112" s="5"/>
      <c r="E112" s="5"/>
      <c r="F112" s="5"/>
      <c r="G112" s="5"/>
      <c r="H112" s="18"/>
      <c r="I112" s="18"/>
      <c r="J112" s="19"/>
      <c r="K112" s="18"/>
      <c r="L112" s="6"/>
      <c r="M112" s="13"/>
      <c r="N112" s="5"/>
      <c r="O112" s="15"/>
      <c r="P112" s="5"/>
      <c r="Q112" s="5"/>
    </row>
    <row r="113" spans="1:17" x14ac:dyDescent="0.2">
      <c r="A113" s="5"/>
      <c r="B113" s="5"/>
      <c r="C113" s="17"/>
      <c r="D113" s="5"/>
      <c r="E113" s="5"/>
      <c r="F113" s="5"/>
      <c r="G113" s="5"/>
      <c r="H113" s="18"/>
      <c r="I113" s="18"/>
      <c r="J113" s="19"/>
      <c r="K113" s="18"/>
      <c r="L113" s="6"/>
      <c r="M113" s="13"/>
      <c r="N113" s="5"/>
      <c r="O113" s="15"/>
      <c r="P113" s="5"/>
      <c r="Q113" s="5"/>
    </row>
    <row r="114" spans="1:17" x14ac:dyDescent="0.2">
      <c r="A114" s="5"/>
      <c r="B114" s="5"/>
      <c r="C114" s="17"/>
      <c r="D114" s="5"/>
      <c r="E114" s="5"/>
      <c r="F114" s="5"/>
      <c r="G114" s="5"/>
      <c r="H114" s="18"/>
      <c r="I114" s="18"/>
      <c r="J114" s="19"/>
      <c r="K114" s="18"/>
      <c r="L114" s="6"/>
      <c r="M114" s="13"/>
      <c r="N114" s="5"/>
      <c r="O114" s="15"/>
      <c r="P114" s="5"/>
      <c r="Q114" s="5"/>
    </row>
    <row r="115" spans="1:17" x14ac:dyDescent="0.2">
      <c r="A115" s="5"/>
      <c r="B115" s="5"/>
      <c r="C115" s="17"/>
      <c r="D115" s="5"/>
      <c r="E115" s="5"/>
      <c r="F115" s="5"/>
      <c r="G115" s="5"/>
      <c r="H115" s="18"/>
      <c r="I115" s="18"/>
      <c r="J115" s="19"/>
      <c r="K115" s="18"/>
      <c r="L115" s="6"/>
      <c r="M115" s="13"/>
      <c r="N115" s="5"/>
      <c r="O115" s="15"/>
      <c r="P115" s="5"/>
      <c r="Q115" s="5"/>
    </row>
    <row r="116" spans="1:17" x14ac:dyDescent="0.2">
      <c r="A116" s="5"/>
      <c r="B116" s="5"/>
      <c r="C116" s="17"/>
      <c r="D116" s="5"/>
      <c r="E116" s="5"/>
      <c r="F116" s="5"/>
      <c r="G116" s="5"/>
      <c r="H116" s="18"/>
      <c r="I116" s="18"/>
      <c r="J116" s="19"/>
      <c r="K116" s="18"/>
      <c r="L116" s="6"/>
      <c r="M116" s="13"/>
      <c r="N116" s="5"/>
      <c r="O116" s="15"/>
      <c r="P116" s="5"/>
      <c r="Q116" s="5"/>
    </row>
    <row r="117" spans="1:17" x14ac:dyDescent="0.2">
      <c r="A117" s="5"/>
      <c r="B117" s="5"/>
      <c r="C117" s="17"/>
      <c r="D117" s="5"/>
      <c r="E117" s="5"/>
      <c r="F117" s="5"/>
      <c r="G117" s="5"/>
      <c r="H117" s="18"/>
      <c r="I117" s="18"/>
      <c r="J117" s="19"/>
      <c r="K117" s="18"/>
      <c r="L117" s="6"/>
      <c r="M117" s="13"/>
      <c r="N117" s="5"/>
      <c r="O117" s="15"/>
      <c r="P117" s="5"/>
      <c r="Q117" s="5"/>
    </row>
    <row r="118" spans="1:17" x14ac:dyDescent="0.2">
      <c r="A118" s="5"/>
      <c r="B118" s="5"/>
      <c r="C118" s="17"/>
      <c r="D118" s="5"/>
      <c r="E118" s="5"/>
      <c r="F118" s="5"/>
      <c r="G118" s="5"/>
      <c r="H118" s="18"/>
      <c r="I118" s="18"/>
      <c r="J118" s="19"/>
      <c r="K118" s="18"/>
      <c r="L118" s="6"/>
      <c r="M118" s="13"/>
      <c r="N118" s="5"/>
      <c r="O118" s="15"/>
      <c r="P118" s="5"/>
      <c r="Q118" s="5"/>
    </row>
    <row r="119" spans="1:17" x14ac:dyDescent="0.2">
      <c r="A119" s="5"/>
      <c r="B119" s="5"/>
      <c r="C119" s="17"/>
      <c r="D119" s="5"/>
      <c r="E119" s="5"/>
      <c r="F119" s="5"/>
      <c r="G119" s="5"/>
      <c r="H119" s="18"/>
      <c r="I119" s="18"/>
      <c r="J119" s="19"/>
      <c r="K119" s="18"/>
      <c r="L119" s="6"/>
      <c r="M119" s="13"/>
      <c r="N119" s="5"/>
      <c r="O119" s="15"/>
      <c r="P119" s="5"/>
      <c r="Q119" s="5"/>
    </row>
    <row r="120" spans="1:17" x14ac:dyDescent="0.2">
      <c r="A120" s="5"/>
      <c r="B120" s="5"/>
      <c r="C120" s="17"/>
      <c r="D120" s="5"/>
      <c r="E120" s="5"/>
      <c r="F120" s="5"/>
      <c r="G120" s="5"/>
      <c r="H120" s="18"/>
      <c r="I120" s="18"/>
      <c r="J120" s="19"/>
      <c r="K120" s="18"/>
      <c r="L120" s="6"/>
      <c r="M120" s="13"/>
      <c r="N120" s="5"/>
      <c r="O120" s="15"/>
      <c r="P120" s="5"/>
      <c r="Q120" s="5"/>
    </row>
    <row r="121" spans="1:17" x14ac:dyDescent="0.2">
      <c r="A121" s="5"/>
      <c r="B121" s="5"/>
      <c r="C121" s="17"/>
      <c r="D121" s="5"/>
      <c r="E121" s="5"/>
      <c r="F121" s="5"/>
      <c r="G121" s="5"/>
      <c r="H121" s="18"/>
      <c r="I121" s="18"/>
      <c r="J121" s="19"/>
      <c r="K121" s="18"/>
      <c r="L121" s="6"/>
      <c r="M121" s="13"/>
      <c r="N121" s="5"/>
      <c r="O121" s="15"/>
      <c r="P121" s="5"/>
      <c r="Q121" s="5"/>
    </row>
    <row r="122" spans="1:17" x14ac:dyDescent="0.2">
      <c r="A122" s="5"/>
      <c r="B122" s="5"/>
      <c r="C122" s="17"/>
      <c r="D122" s="5"/>
      <c r="E122" s="5"/>
      <c r="F122" s="5"/>
      <c r="G122" s="5"/>
      <c r="H122" s="18"/>
      <c r="I122" s="18"/>
      <c r="J122" s="19"/>
      <c r="K122" s="18"/>
      <c r="L122" s="6"/>
      <c r="M122" s="13"/>
      <c r="N122" s="5"/>
      <c r="O122" s="15"/>
      <c r="P122" s="5"/>
      <c r="Q122" s="5"/>
    </row>
    <row r="123" spans="1:17" x14ac:dyDescent="0.2">
      <c r="A123" s="5"/>
      <c r="B123" s="5"/>
      <c r="C123" s="17"/>
      <c r="D123" s="5"/>
      <c r="E123" s="5"/>
      <c r="F123" s="5"/>
      <c r="G123" s="5"/>
      <c r="H123" s="18"/>
      <c r="I123" s="18"/>
      <c r="J123" s="19"/>
      <c r="K123" s="18"/>
      <c r="L123" s="6"/>
      <c r="M123" s="13"/>
      <c r="N123" s="5"/>
      <c r="O123" s="15"/>
      <c r="P123" s="5"/>
      <c r="Q123" s="5"/>
    </row>
    <row r="124" spans="1:17" x14ac:dyDescent="0.2">
      <c r="A124" s="5"/>
      <c r="B124" s="5"/>
      <c r="C124" s="17"/>
      <c r="D124" s="5"/>
      <c r="E124" s="5"/>
      <c r="F124" s="5"/>
      <c r="G124" s="5"/>
      <c r="H124" s="18"/>
      <c r="I124" s="18"/>
      <c r="J124" s="19"/>
      <c r="K124" s="18"/>
      <c r="L124" s="6"/>
      <c r="M124" s="13"/>
      <c r="N124" s="5"/>
      <c r="O124" s="15"/>
      <c r="P124" s="5"/>
      <c r="Q124" s="5"/>
    </row>
    <row r="125" spans="1:17" x14ac:dyDescent="0.2">
      <c r="C125" s="2"/>
      <c r="H125" s="1"/>
      <c r="I125" s="1"/>
      <c r="J125" s="1"/>
      <c r="K125" s="1"/>
      <c r="L125" s="8"/>
      <c r="M125" s="13"/>
      <c r="N125" s="5"/>
      <c r="O125" s="14"/>
      <c r="P125" s="5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70Se</vt:lpstr>
      <vt:lpstr>72Ge</vt:lpstr>
      <vt:lpstr>64Ge</vt:lpstr>
    </vt:vector>
  </TitlesOfParts>
  <Company>GSI 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Weick</dc:creator>
  <cp:lastModifiedBy>Weick, Helmut</cp:lastModifiedBy>
  <dcterms:created xsi:type="dcterms:W3CDTF">2010-02-02T10:52:26Z</dcterms:created>
  <dcterms:modified xsi:type="dcterms:W3CDTF">2021-05-08T15:42:05Z</dcterms:modified>
</cp:coreProperties>
</file>